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61e98b2a14c747c/Desktop/University Gymnastics Cup/2021 - 2022/Portsmouth 2022/Scoresheet/"/>
    </mc:Choice>
  </mc:AlternateContent>
  <xr:revisionPtr revIDLastSave="35" documentId="13_ncr:1_{E1890B74-3AEA-334D-91B6-51B8A8CB2088}" xr6:coauthVersionLast="47" xr6:coauthVersionMax="47" xr10:uidLastSave="{97B3970C-5ECB-45EE-887D-2ADE19B4EE3E}"/>
  <bookViews>
    <workbookView xWindow="-110" yWindow="-110" windowWidth="19420" windowHeight="10420" xr2:uid="{CA3DEF59-1E32-8C41-8B33-E08A6681C59F}"/>
  </bookViews>
  <sheets>
    <sheet name="Team Medals" sheetId="14" r:id="rId1"/>
    <sheet name="Elite Men" sheetId="1" r:id="rId2"/>
    <sheet name="Advanced Men" sheetId="5" r:id="rId3"/>
    <sheet name="Intermediate Men" sheetId="6" r:id="rId4"/>
    <sheet name="Novice Men" sheetId="7" r:id="rId5"/>
    <sheet name="Elite Women" sheetId="4" r:id="rId6"/>
    <sheet name="Advanced Women" sheetId="3" r:id="rId7"/>
    <sheet name="Intermediate Women" sheetId="8" r:id="rId8"/>
    <sheet name="Novice Women" sheetId="9" r:id="rId9"/>
    <sheet name="League Calculation" sheetId="2" state="hidden" r:id="rId10"/>
    <sheet name="Team Calculation - Elite" sheetId="10" state="hidden" r:id="rId11"/>
    <sheet name="Team Calculation - Advanced" sheetId="11" state="hidden" r:id="rId12"/>
    <sheet name="Team Calculation - Intermediate" sheetId="12" state="hidden" r:id="rId13"/>
    <sheet name="Team Calculation - Novice" sheetId="13" state="hidden" r:id="rId14"/>
  </sheets>
  <definedNames>
    <definedName name="_xlnm._FilterDatabase" localSheetId="2" hidden="1">'Advanced Men'!$A:$A</definedName>
    <definedName name="_xlnm._FilterDatabase" localSheetId="6" hidden="1">'Advanced Women'!$A:$A</definedName>
    <definedName name="_xlnm._FilterDatabase" localSheetId="1" hidden="1">'Elite Men'!$A:$A</definedName>
    <definedName name="_xlnm._FilterDatabase" localSheetId="5" hidden="1">'Elite Women'!$A:$A</definedName>
    <definedName name="_xlnm._FilterDatabase" localSheetId="3" hidden="1">'Intermediate Men'!$A:$A</definedName>
    <definedName name="_xlnm._FilterDatabase" localSheetId="7" hidden="1">'Intermediate Women'!$A:$A</definedName>
    <definedName name="_xlnm._FilterDatabase" localSheetId="4" hidden="1">'Novice Men'!$A:$A</definedName>
    <definedName name="_xlnm._FilterDatabase" localSheetId="8" hidden="1">'Novice Women'!$A:$A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" i="1" l="1"/>
  <c r="B69" i="11"/>
  <c r="C69" i="11"/>
  <c r="D69" i="11"/>
  <c r="E69" i="11"/>
  <c r="A69" i="11"/>
  <c r="A80" i="11" s="1"/>
  <c r="A1" i="11" a="1"/>
  <c r="A1" i="11" s="1"/>
  <c r="V21" i="3"/>
  <c r="Y21" i="3"/>
  <c r="Z21" i="3"/>
  <c r="Q21" i="3"/>
  <c r="G21" i="3"/>
  <c r="L21" i="3"/>
  <c r="P17" i="9"/>
  <c r="P10" i="9"/>
  <c r="P16" i="9"/>
  <c r="P4" i="9"/>
  <c r="P12" i="9"/>
  <c r="P2" i="9"/>
  <c r="P18" i="9"/>
  <c r="P3" i="9"/>
  <c r="P8" i="9"/>
  <c r="P5" i="9"/>
  <c r="P13" i="9"/>
  <c r="P9" i="9"/>
  <c r="P15" i="9"/>
  <c r="P6" i="9"/>
  <c r="P14" i="9"/>
  <c r="P7" i="9"/>
  <c r="P11" i="9"/>
  <c r="O17" i="9"/>
  <c r="O10" i="9"/>
  <c r="O16" i="9"/>
  <c r="O4" i="9"/>
  <c r="O12" i="9"/>
  <c r="O2" i="9"/>
  <c r="O18" i="9"/>
  <c r="O3" i="9"/>
  <c r="O8" i="9"/>
  <c r="O5" i="9"/>
  <c r="O13" i="9"/>
  <c r="O9" i="9"/>
  <c r="O15" i="9"/>
  <c r="O6" i="9"/>
  <c r="O14" i="9"/>
  <c r="O7" i="9"/>
  <c r="O11" i="9"/>
  <c r="L17" i="9"/>
  <c r="L10" i="9"/>
  <c r="L16" i="9"/>
  <c r="L4" i="9"/>
  <c r="L12" i="9"/>
  <c r="L2" i="9"/>
  <c r="L18" i="9"/>
  <c r="L3" i="9"/>
  <c r="L8" i="9"/>
  <c r="L5" i="9"/>
  <c r="L13" i="9"/>
  <c r="L9" i="9"/>
  <c r="L15" i="9"/>
  <c r="L6" i="9"/>
  <c r="L14" i="9"/>
  <c r="L7" i="9"/>
  <c r="L11" i="9"/>
  <c r="G17" i="9"/>
  <c r="G10" i="9"/>
  <c r="G16" i="9"/>
  <c r="G4" i="9"/>
  <c r="G12" i="9"/>
  <c r="Q12" i="9" s="1"/>
  <c r="G2" i="9"/>
  <c r="G18" i="9"/>
  <c r="G3" i="9"/>
  <c r="G8" i="9"/>
  <c r="G5" i="9"/>
  <c r="G13" i="9"/>
  <c r="G9" i="9"/>
  <c r="G15" i="9"/>
  <c r="G6" i="9"/>
  <c r="G14" i="9"/>
  <c r="G7" i="9"/>
  <c r="G11" i="9"/>
  <c r="Z18" i="8"/>
  <c r="Z19" i="8"/>
  <c r="Z17" i="8"/>
  <c r="Z12" i="8"/>
  <c r="Z4" i="8"/>
  <c r="Z13" i="8"/>
  <c r="Z20" i="8"/>
  <c r="Z3" i="8"/>
  <c r="Z15" i="8"/>
  <c r="Z6" i="8"/>
  <c r="Z10" i="8"/>
  <c r="Z16" i="8"/>
  <c r="Z7" i="8"/>
  <c r="Z9" i="8"/>
  <c r="Z8" i="8"/>
  <c r="Z14" i="8"/>
  <c r="Z5" i="8"/>
  <c r="Z11" i="8"/>
  <c r="Z2" i="8"/>
  <c r="Y18" i="8"/>
  <c r="Y19" i="8"/>
  <c r="Y17" i="8"/>
  <c r="Y12" i="8"/>
  <c r="Y4" i="8"/>
  <c r="Y13" i="8"/>
  <c r="Y20" i="8"/>
  <c r="Y3" i="8"/>
  <c r="Y15" i="8"/>
  <c r="Y6" i="8"/>
  <c r="Y10" i="8"/>
  <c r="Y16" i="8"/>
  <c r="Y7" i="8"/>
  <c r="Y9" i="8"/>
  <c r="Y8" i="8"/>
  <c r="Y14" i="8"/>
  <c r="Y5" i="8"/>
  <c r="Y11" i="8"/>
  <c r="Y2" i="8"/>
  <c r="V18" i="8"/>
  <c r="V19" i="8"/>
  <c r="V17" i="8"/>
  <c r="V12" i="8"/>
  <c r="V4" i="8"/>
  <c r="V13" i="8"/>
  <c r="V20" i="8"/>
  <c r="V3" i="8"/>
  <c r="V15" i="8"/>
  <c r="V6" i="8"/>
  <c r="V10" i="8"/>
  <c r="V16" i="8"/>
  <c r="V7" i="8"/>
  <c r="V9" i="8"/>
  <c r="V8" i="8"/>
  <c r="V14" i="8"/>
  <c r="V5" i="8"/>
  <c r="V11" i="8"/>
  <c r="V2" i="8"/>
  <c r="Q18" i="8"/>
  <c r="Q19" i="8"/>
  <c r="Q17" i="8"/>
  <c r="Q12" i="8"/>
  <c r="Q4" i="8"/>
  <c r="Q13" i="8"/>
  <c r="Q20" i="8"/>
  <c r="Q3" i="8"/>
  <c r="Q15" i="8"/>
  <c r="Q6" i="8"/>
  <c r="Q10" i="8"/>
  <c r="Q16" i="8"/>
  <c r="Q7" i="8"/>
  <c r="Q9" i="8"/>
  <c r="Q8" i="8"/>
  <c r="Q14" i="8"/>
  <c r="Q5" i="8"/>
  <c r="Q11" i="8"/>
  <c r="Q2" i="8"/>
  <c r="L18" i="8"/>
  <c r="L19" i="8"/>
  <c r="L17" i="8"/>
  <c r="L12" i="8"/>
  <c r="L4" i="8"/>
  <c r="L13" i="8"/>
  <c r="L20" i="8"/>
  <c r="L3" i="8"/>
  <c r="L15" i="8"/>
  <c r="L6" i="8"/>
  <c r="L10" i="8"/>
  <c r="L16" i="8"/>
  <c r="L7" i="8"/>
  <c r="L9" i="8"/>
  <c r="L8" i="8"/>
  <c r="L14" i="8"/>
  <c r="L5" i="8"/>
  <c r="L11" i="8"/>
  <c r="L2" i="8"/>
  <c r="G18" i="8"/>
  <c r="G19" i="8"/>
  <c r="G17" i="8"/>
  <c r="G12" i="8"/>
  <c r="G4" i="8"/>
  <c r="G13" i="8"/>
  <c r="G20" i="8"/>
  <c r="G3" i="8"/>
  <c r="G15" i="8"/>
  <c r="G6" i="8"/>
  <c r="G10" i="8"/>
  <c r="G16" i="8"/>
  <c r="G7" i="8"/>
  <c r="G9" i="8"/>
  <c r="G8" i="8"/>
  <c r="G14" i="8"/>
  <c r="G5" i="8"/>
  <c r="G11" i="8"/>
  <c r="G2" i="8"/>
  <c r="Z6" i="3"/>
  <c r="Z15" i="3"/>
  <c r="Z11" i="3"/>
  <c r="Z10" i="3"/>
  <c r="Z14" i="3"/>
  <c r="Z20" i="3"/>
  <c r="Z7" i="3"/>
  <c r="Z18" i="3"/>
  <c r="Z8" i="3"/>
  <c r="Z3" i="3"/>
  <c r="Z4" i="3"/>
  <c r="Z9" i="3"/>
  <c r="Z12" i="3"/>
  <c r="Z17" i="3"/>
  <c r="Z13" i="3"/>
  <c r="Z5" i="3"/>
  <c r="Z19" i="3"/>
  <c r="Z2" i="3"/>
  <c r="Z16" i="3"/>
  <c r="Y6" i="3"/>
  <c r="Y15" i="3"/>
  <c r="Y11" i="3"/>
  <c r="Y10" i="3"/>
  <c r="Y14" i="3"/>
  <c r="Y20" i="3"/>
  <c r="Y7" i="3"/>
  <c r="Y18" i="3"/>
  <c r="Y8" i="3"/>
  <c r="Y3" i="3"/>
  <c r="Y4" i="3"/>
  <c r="Y9" i="3"/>
  <c r="Y12" i="3"/>
  <c r="Y17" i="3"/>
  <c r="Y13" i="3"/>
  <c r="Y5" i="3"/>
  <c r="Y19" i="3"/>
  <c r="Y2" i="3"/>
  <c r="Y16" i="3"/>
  <c r="V6" i="3"/>
  <c r="V15" i="3"/>
  <c r="V11" i="3"/>
  <c r="V10" i="3"/>
  <c r="V14" i="3"/>
  <c r="V20" i="3"/>
  <c r="V7" i="3"/>
  <c r="V18" i="3"/>
  <c r="V8" i="3"/>
  <c r="V3" i="3"/>
  <c r="V4" i="3"/>
  <c r="V9" i="3"/>
  <c r="V12" i="3"/>
  <c r="V17" i="3"/>
  <c r="V13" i="3"/>
  <c r="V5" i="3"/>
  <c r="V19" i="3"/>
  <c r="V2" i="3"/>
  <c r="V16" i="3"/>
  <c r="Q6" i="3"/>
  <c r="Q15" i="3"/>
  <c r="Q11" i="3"/>
  <c r="Q10" i="3"/>
  <c r="Q14" i="3"/>
  <c r="Q20" i="3"/>
  <c r="Q7" i="3"/>
  <c r="Q18" i="3"/>
  <c r="Q8" i="3"/>
  <c r="Q3" i="3"/>
  <c r="Q4" i="3"/>
  <c r="Q9" i="3"/>
  <c r="Q12" i="3"/>
  <c r="Q17" i="3"/>
  <c r="Q13" i="3"/>
  <c r="Q5" i="3"/>
  <c r="Q19" i="3"/>
  <c r="Q2" i="3"/>
  <c r="Q16" i="3"/>
  <c r="L16" i="3"/>
  <c r="L6" i="3"/>
  <c r="L15" i="3"/>
  <c r="L11" i="3"/>
  <c r="L10" i="3"/>
  <c r="L14" i="3"/>
  <c r="L20" i="3"/>
  <c r="L7" i="3"/>
  <c r="L18" i="3"/>
  <c r="L8" i="3"/>
  <c r="L3" i="3"/>
  <c r="L4" i="3"/>
  <c r="L9" i="3"/>
  <c r="L12" i="3"/>
  <c r="L17" i="3"/>
  <c r="L13" i="3"/>
  <c r="L5" i="3"/>
  <c r="L19" i="3"/>
  <c r="L2" i="3"/>
  <c r="G16" i="3"/>
  <c r="G6" i="3"/>
  <c r="G15" i="3"/>
  <c r="G11" i="3"/>
  <c r="G10" i="3"/>
  <c r="G14" i="3"/>
  <c r="G20" i="3"/>
  <c r="G7" i="3"/>
  <c r="G18" i="3"/>
  <c r="G8" i="3"/>
  <c r="G3" i="3"/>
  <c r="G4" i="3"/>
  <c r="G9" i="3"/>
  <c r="G12" i="3"/>
  <c r="G17" i="3"/>
  <c r="G13" i="3"/>
  <c r="G5" i="3"/>
  <c r="G19" i="3"/>
  <c r="G2" i="3"/>
  <c r="P3" i="7"/>
  <c r="P4" i="7"/>
  <c r="P5" i="7"/>
  <c r="P6" i="7"/>
  <c r="O3" i="7"/>
  <c r="O4" i="7"/>
  <c r="O5" i="7"/>
  <c r="O6" i="7"/>
  <c r="L3" i="7"/>
  <c r="L4" i="7"/>
  <c r="L5" i="7"/>
  <c r="L6" i="7"/>
  <c r="G3" i="7"/>
  <c r="G4" i="7"/>
  <c r="G5" i="7"/>
  <c r="G6" i="7"/>
  <c r="L2" i="7"/>
  <c r="G2" i="7"/>
  <c r="A47" i="13" a="1"/>
  <c r="A47" i="13" s="1"/>
  <c r="A56" i="13" s="1"/>
  <c r="B19" i="13" a="1"/>
  <c r="B19" i="13" s="1"/>
  <c r="A19" i="13" a="1"/>
  <c r="A19" i="13" s="1"/>
  <c r="B1" i="13" a="1"/>
  <c r="B1" i="13" s="1"/>
  <c r="A1" i="13" a="1"/>
  <c r="A1" i="13" s="1"/>
  <c r="A56" i="12"/>
  <c r="A57" i="12"/>
  <c r="A58" i="12"/>
  <c r="A59" i="12"/>
  <c r="A60" i="12"/>
  <c r="A61" i="12"/>
  <c r="A62" i="12"/>
  <c r="A55" i="12"/>
  <c r="A66" i="12" s="1"/>
  <c r="A21" i="12" a="1"/>
  <c r="A21" i="12" s="1"/>
  <c r="B1" i="12" a="1"/>
  <c r="B1" i="12" s="1"/>
  <c r="A1" i="12" a="1"/>
  <c r="A1" i="12" s="1"/>
  <c r="B1" i="11" a="1"/>
  <c r="B1" i="11" s="1"/>
  <c r="B48" i="13"/>
  <c r="C48" i="13"/>
  <c r="D48" i="13"/>
  <c r="E48" i="13"/>
  <c r="B49" i="13"/>
  <c r="C49" i="13"/>
  <c r="D49" i="13"/>
  <c r="E49" i="13"/>
  <c r="B50" i="13"/>
  <c r="C50" i="13"/>
  <c r="D50" i="13"/>
  <c r="E50" i="13"/>
  <c r="B51" i="13"/>
  <c r="C51" i="13"/>
  <c r="D51" i="13"/>
  <c r="E51" i="13"/>
  <c r="B52" i="13"/>
  <c r="C52" i="13"/>
  <c r="D52" i="13"/>
  <c r="E52" i="13"/>
  <c r="B53" i="13"/>
  <c r="C53" i="13"/>
  <c r="D53" i="13"/>
  <c r="E53" i="13"/>
  <c r="E47" i="13"/>
  <c r="D47" i="13"/>
  <c r="C47" i="13"/>
  <c r="B47" i="13"/>
  <c r="B56" i="12"/>
  <c r="C56" i="12"/>
  <c r="D56" i="12"/>
  <c r="E56" i="12"/>
  <c r="B57" i="12"/>
  <c r="C57" i="12"/>
  <c r="D57" i="12"/>
  <c r="E57" i="12"/>
  <c r="B58" i="12"/>
  <c r="C58" i="12"/>
  <c r="D58" i="12"/>
  <c r="E58" i="12"/>
  <c r="B59" i="12"/>
  <c r="C59" i="12"/>
  <c r="D59" i="12"/>
  <c r="E59" i="12"/>
  <c r="B60" i="12"/>
  <c r="C60" i="12"/>
  <c r="D60" i="12"/>
  <c r="E60" i="12"/>
  <c r="B61" i="12"/>
  <c r="C61" i="12"/>
  <c r="D61" i="12"/>
  <c r="E61" i="12"/>
  <c r="B62" i="12"/>
  <c r="C62" i="12"/>
  <c r="D62" i="12"/>
  <c r="E62" i="12"/>
  <c r="E55" i="12"/>
  <c r="D55" i="12"/>
  <c r="C55" i="12"/>
  <c r="B55" i="12"/>
  <c r="B21" i="12" a="1"/>
  <c r="B21" i="12" s="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E61" i="11"/>
  <c r="D61" i="11"/>
  <c r="C61" i="11"/>
  <c r="B61" i="11"/>
  <c r="B23" i="10"/>
  <c r="B24" i="10"/>
  <c r="A62" i="11"/>
  <c r="A73" i="11" s="1"/>
  <c r="A63" i="11"/>
  <c r="A74" i="11" s="1"/>
  <c r="A64" i="11"/>
  <c r="A75" i="11" s="1"/>
  <c r="A65" i="11"/>
  <c r="A76" i="11" s="1"/>
  <c r="A66" i="11"/>
  <c r="A77" i="11" s="1"/>
  <c r="A67" i="11"/>
  <c r="A78" i="11" s="1"/>
  <c r="A68" i="11"/>
  <c r="A79" i="11" s="1"/>
  <c r="A61" i="11"/>
  <c r="A72" i="11" s="1"/>
  <c r="B22" i="11" a="1"/>
  <c r="B22" i="11" s="1"/>
  <c r="A22" i="11" a="1"/>
  <c r="A22" i="11" s="1"/>
  <c r="C24" i="10"/>
  <c r="D24" i="10"/>
  <c r="E24" i="10"/>
  <c r="E23" i="10"/>
  <c r="D23" i="10"/>
  <c r="C23" i="10"/>
  <c r="Q5" i="9" l="1"/>
  <c r="Q7" i="9"/>
  <c r="Q6" i="9"/>
  <c r="F80" i="11"/>
  <c r="Q8" i="9"/>
  <c r="Q3" i="9"/>
  <c r="Q2" i="9"/>
  <c r="B8" i="2"/>
  <c r="I11" i="9" s="1"/>
  <c r="Q17" i="9"/>
  <c r="B9" i="2"/>
  <c r="I3" i="7" s="1"/>
  <c r="Q3" i="7"/>
  <c r="Q10" i="9"/>
  <c r="C9" i="2"/>
  <c r="N4" i="7" s="1"/>
  <c r="Q15" i="9"/>
  <c r="C8" i="2"/>
  <c r="N17" i="9" s="1"/>
  <c r="R21" i="3"/>
  <c r="AA13" i="3"/>
  <c r="M21" i="3"/>
  <c r="H7" i="2"/>
  <c r="N19" i="8" s="1"/>
  <c r="AA4" i="8"/>
  <c r="AA10" i="8"/>
  <c r="AA17" i="8"/>
  <c r="C7" i="2"/>
  <c r="X12" i="8" s="1"/>
  <c r="AA8" i="8"/>
  <c r="I7" i="2"/>
  <c r="S3" i="8" s="1"/>
  <c r="AA7" i="8"/>
  <c r="B7" i="2"/>
  <c r="I2" i="8" s="1"/>
  <c r="AA2" i="8"/>
  <c r="AA7" i="3"/>
  <c r="C3" i="2"/>
  <c r="X11" i="3" s="1"/>
  <c r="AA14" i="3"/>
  <c r="W21" i="3"/>
  <c r="F79" i="11"/>
  <c r="H21" i="3"/>
  <c r="F69" i="11"/>
  <c r="AA21" i="3"/>
  <c r="B3" i="2"/>
  <c r="I11" i="3" s="1"/>
  <c r="H3" i="2"/>
  <c r="AA11" i="3"/>
  <c r="AA12" i="3"/>
  <c r="I3" i="2"/>
  <c r="Q14" i="9"/>
  <c r="Q18" i="9"/>
  <c r="Q11" i="9"/>
  <c r="Q9" i="9"/>
  <c r="Q4" i="9"/>
  <c r="Q13" i="9"/>
  <c r="Q16" i="9"/>
  <c r="AA13" i="8"/>
  <c r="AA5" i="8"/>
  <c r="AA15" i="8"/>
  <c r="AA18" i="8"/>
  <c r="AA3" i="8"/>
  <c r="AA12" i="8"/>
  <c r="AA11" i="8"/>
  <c r="AA6" i="8"/>
  <c r="AA19" i="8"/>
  <c r="AA9" i="8"/>
  <c r="AA16" i="8"/>
  <c r="AA20" i="8"/>
  <c r="AA10" i="3"/>
  <c r="AA5" i="3"/>
  <c r="AA18" i="3"/>
  <c r="AA20" i="3"/>
  <c r="AA3" i="3"/>
  <c r="AA15" i="3"/>
  <c r="AA19" i="3"/>
  <c r="AA6" i="3"/>
  <c r="AA16" i="3"/>
  <c r="AA17" i="3"/>
  <c r="AA9" i="3"/>
  <c r="Q4" i="7"/>
  <c r="Q6" i="7"/>
  <c r="Q5" i="7"/>
  <c r="AA14" i="8"/>
  <c r="AA4" i="3"/>
  <c r="AA8" i="3"/>
  <c r="AA2" i="3"/>
  <c r="F61" i="13"/>
  <c r="F59" i="13"/>
  <c r="A62" i="13"/>
  <c r="A61" i="13"/>
  <c r="A60" i="13"/>
  <c r="A59" i="13"/>
  <c r="A58" i="13"/>
  <c r="A57" i="13"/>
  <c r="F47" i="13"/>
  <c r="F57" i="12"/>
  <c r="F61" i="12"/>
  <c r="F71" i="12"/>
  <c r="F68" i="12"/>
  <c r="F66" i="12"/>
  <c r="A73" i="12"/>
  <c r="A72" i="12"/>
  <c r="A67" i="12"/>
  <c r="F72" i="12"/>
  <c r="A71" i="12"/>
  <c r="A70" i="12"/>
  <c r="A69" i="12"/>
  <c r="F60" i="12"/>
  <c r="A68" i="12"/>
  <c r="F66" i="11"/>
  <c r="F73" i="11"/>
  <c r="F72" i="11"/>
  <c r="F78" i="11"/>
  <c r="F76" i="11"/>
  <c r="F63" i="11"/>
  <c r="F62" i="11"/>
  <c r="F28" i="10"/>
  <c r="F27" i="10"/>
  <c r="F62" i="13"/>
  <c r="F60" i="13"/>
  <c r="F58" i="13"/>
  <c r="F56" i="13"/>
  <c r="F50" i="13"/>
  <c r="F52" i="13"/>
  <c r="F48" i="13"/>
  <c r="F57" i="13"/>
  <c r="F62" i="12"/>
  <c r="F58" i="12"/>
  <c r="F56" i="12"/>
  <c r="F67" i="12"/>
  <c r="F73" i="12"/>
  <c r="F59" i="12"/>
  <c r="F70" i="12"/>
  <c r="F69" i="12"/>
  <c r="F65" i="11"/>
  <c r="F64" i="11"/>
  <c r="F77" i="11"/>
  <c r="F67" i="11"/>
  <c r="F68" i="11"/>
  <c r="F75" i="11"/>
  <c r="F74" i="11"/>
  <c r="F49" i="13"/>
  <c r="F53" i="13"/>
  <c r="F51" i="13"/>
  <c r="F55" i="12"/>
  <c r="F61" i="11"/>
  <c r="A23" i="10"/>
  <c r="A27" i="10" s="1"/>
  <c r="A24" i="10"/>
  <c r="A28" i="10" s="1"/>
  <c r="G80" i="11" l="1"/>
  <c r="I6" i="7"/>
  <c r="I5" i="7"/>
  <c r="I4" i="7"/>
  <c r="N16" i="9"/>
  <c r="N2" i="9"/>
  <c r="N13" i="9"/>
  <c r="N6" i="9"/>
  <c r="N18" i="9"/>
  <c r="N5" i="9"/>
  <c r="N9" i="9"/>
  <c r="N3" i="9"/>
  <c r="N10" i="9"/>
  <c r="N7" i="9"/>
  <c r="N4" i="9"/>
  <c r="N14" i="9"/>
  <c r="N8" i="9"/>
  <c r="N12" i="9"/>
  <c r="N11" i="9"/>
  <c r="N15" i="9"/>
  <c r="J8" i="2"/>
  <c r="S10" i="9" s="1"/>
  <c r="N2" i="8"/>
  <c r="N7" i="8"/>
  <c r="N14" i="8"/>
  <c r="N10" i="8"/>
  <c r="N8" i="8"/>
  <c r="N15" i="8"/>
  <c r="N4" i="8"/>
  <c r="N17" i="8"/>
  <c r="N13" i="8"/>
  <c r="N18" i="8"/>
  <c r="N20" i="8"/>
  <c r="N6" i="8"/>
  <c r="N12" i="8"/>
  <c r="N3" i="8"/>
  <c r="N11" i="8"/>
  <c r="N9" i="8"/>
  <c r="N16" i="8"/>
  <c r="N5" i="8"/>
  <c r="X9" i="8"/>
  <c r="X18" i="8"/>
  <c r="X20" i="8"/>
  <c r="X15" i="8"/>
  <c r="X16" i="8"/>
  <c r="X11" i="8"/>
  <c r="X6" i="8"/>
  <c r="X8" i="8"/>
  <c r="X13" i="8"/>
  <c r="X3" i="8"/>
  <c r="X2" i="8"/>
  <c r="X17" i="8"/>
  <c r="X14" i="8"/>
  <c r="X5" i="8"/>
  <c r="X19" i="8"/>
  <c r="X4" i="8"/>
  <c r="X7" i="8"/>
  <c r="X10" i="8"/>
  <c r="S6" i="8"/>
  <c r="S9" i="8"/>
  <c r="S5" i="8"/>
  <c r="S2" i="8"/>
  <c r="S20" i="8"/>
  <c r="S7" i="8"/>
  <c r="S10" i="8"/>
  <c r="S19" i="8"/>
  <c r="S13" i="8"/>
  <c r="S18" i="8"/>
  <c r="S14" i="8"/>
  <c r="S8" i="8"/>
  <c r="S15" i="8"/>
  <c r="S12" i="8"/>
  <c r="S11" i="8"/>
  <c r="S16" i="8"/>
  <c r="S17" i="8"/>
  <c r="S4" i="8"/>
  <c r="G76" i="11"/>
  <c r="X14" i="3"/>
  <c r="X7" i="3"/>
  <c r="X21" i="3"/>
  <c r="X13" i="3"/>
  <c r="X19" i="3"/>
  <c r="X20" i="3"/>
  <c r="X5" i="3"/>
  <c r="X12" i="3"/>
  <c r="X18" i="3"/>
  <c r="X10" i="3"/>
  <c r="X6" i="3"/>
  <c r="X9" i="3"/>
  <c r="X16" i="3"/>
  <c r="X15" i="3"/>
  <c r="X2" i="3"/>
  <c r="X17" i="3"/>
  <c r="X3" i="3"/>
  <c r="X4" i="3"/>
  <c r="X8" i="3"/>
  <c r="G78" i="11"/>
  <c r="G72" i="11"/>
  <c r="G73" i="11"/>
  <c r="G77" i="11"/>
  <c r="G74" i="11"/>
  <c r="G75" i="11"/>
  <c r="G79" i="11"/>
  <c r="AB21" i="3"/>
  <c r="G69" i="11"/>
  <c r="S3" i="3"/>
  <c r="S21" i="3"/>
  <c r="I8" i="3"/>
  <c r="I16" i="3"/>
  <c r="I6" i="3"/>
  <c r="I3" i="3"/>
  <c r="I14" i="3"/>
  <c r="I15" i="3"/>
  <c r="I2" i="3"/>
  <c r="I20" i="3"/>
  <c r="I17" i="3"/>
  <c r="I9" i="3"/>
  <c r="I13" i="3"/>
  <c r="I18" i="3"/>
  <c r="I5" i="3"/>
  <c r="I4" i="3"/>
  <c r="I21" i="3"/>
  <c r="I10" i="3"/>
  <c r="I7" i="3"/>
  <c r="I12" i="3"/>
  <c r="I19" i="3"/>
  <c r="N20" i="3"/>
  <c r="N21" i="3"/>
  <c r="N13" i="3"/>
  <c r="N3" i="3"/>
  <c r="N18" i="3"/>
  <c r="N11" i="3"/>
  <c r="N14" i="3"/>
  <c r="N7" i="3"/>
  <c r="N4" i="3"/>
  <c r="N10" i="3"/>
  <c r="N8" i="3"/>
  <c r="N16" i="3"/>
  <c r="N19" i="3"/>
  <c r="N15" i="3"/>
  <c r="N2" i="3"/>
  <c r="N12" i="3"/>
  <c r="N9" i="3"/>
  <c r="N5" i="3"/>
  <c r="N6" i="3"/>
  <c r="N17" i="3"/>
  <c r="S11" i="3"/>
  <c r="S18" i="3"/>
  <c r="S10" i="3"/>
  <c r="S14" i="3"/>
  <c r="S6" i="3"/>
  <c r="S8" i="3"/>
  <c r="S20" i="3"/>
  <c r="S19" i="3"/>
  <c r="S13" i="3"/>
  <c r="S4" i="3"/>
  <c r="S5" i="3"/>
  <c r="S9" i="3"/>
  <c r="S12" i="3"/>
  <c r="S2" i="3"/>
  <c r="S17" i="3"/>
  <c r="S15" i="3"/>
  <c r="S7" i="3"/>
  <c r="S16" i="3"/>
  <c r="J7" i="2"/>
  <c r="AC8" i="8" s="1"/>
  <c r="J3" i="2"/>
  <c r="AC21" i="3" s="1"/>
  <c r="N6" i="7"/>
  <c r="N3" i="7"/>
  <c r="N5" i="7"/>
  <c r="G61" i="12"/>
  <c r="G73" i="12"/>
  <c r="G62" i="12"/>
  <c r="G71" i="12"/>
  <c r="G68" i="11"/>
  <c r="G67" i="11"/>
  <c r="G57" i="13"/>
  <c r="G61" i="13"/>
  <c r="G62" i="13"/>
  <c r="G59" i="13"/>
  <c r="G60" i="13"/>
  <c r="G58" i="13"/>
  <c r="G56" i="13"/>
  <c r="G70" i="12"/>
  <c r="G59" i="12"/>
  <c r="G68" i="12"/>
  <c r="G66" i="12"/>
  <c r="G56" i="12"/>
  <c r="G60" i="12"/>
  <c r="G55" i="12"/>
  <c r="G67" i="12"/>
  <c r="G57" i="12"/>
  <c r="G58" i="12"/>
  <c r="G69" i="12"/>
  <c r="G72" i="12"/>
  <c r="G62" i="11"/>
  <c r="G66" i="11"/>
  <c r="G65" i="11"/>
  <c r="G63" i="11"/>
  <c r="G61" i="11"/>
  <c r="G64" i="11"/>
  <c r="G49" i="13"/>
  <c r="G48" i="13"/>
  <c r="G51" i="13"/>
  <c r="G52" i="13"/>
  <c r="G53" i="13"/>
  <c r="G47" i="13"/>
  <c r="G50" i="13"/>
  <c r="F24" i="10"/>
  <c r="F23" i="10"/>
  <c r="S8" i="9" l="1"/>
  <c r="S18" i="9"/>
  <c r="S5" i="9"/>
  <c r="S17" i="9"/>
  <c r="S4" i="9"/>
  <c r="S14" i="9"/>
  <c r="S6" i="9"/>
  <c r="S15" i="9"/>
  <c r="S12" i="9"/>
  <c r="S13" i="9"/>
  <c r="S7" i="9"/>
  <c r="S2" i="9"/>
  <c r="S11" i="9"/>
  <c r="C2" i="13" s="1"/>
  <c r="S16" i="9"/>
  <c r="S9" i="9"/>
  <c r="S3" i="9"/>
  <c r="AC5" i="8"/>
  <c r="AC7" i="8"/>
  <c r="AC20" i="8"/>
  <c r="AC2" i="8"/>
  <c r="C2" i="12" s="1"/>
  <c r="AC19" i="8"/>
  <c r="AC3" i="8"/>
  <c r="AC11" i="8"/>
  <c r="AC4" i="8"/>
  <c r="AC17" i="8"/>
  <c r="AC10" i="8"/>
  <c r="AC15" i="8"/>
  <c r="AC13" i="8"/>
  <c r="AC16" i="8"/>
  <c r="AC9" i="8"/>
  <c r="AC6" i="8"/>
  <c r="AC18" i="8"/>
  <c r="AC14" i="8"/>
  <c r="AC12" i="8"/>
  <c r="AC3" i="3"/>
  <c r="AC7" i="3"/>
  <c r="AC13" i="3"/>
  <c r="AC20" i="3"/>
  <c r="AC16" i="3"/>
  <c r="AC9" i="3"/>
  <c r="AC10" i="3"/>
  <c r="C6" i="11" s="1"/>
  <c r="AC14" i="3"/>
  <c r="C7" i="11" s="1"/>
  <c r="AC11" i="3"/>
  <c r="AC12" i="3"/>
  <c r="C16" i="11" s="1"/>
  <c r="AC18" i="3"/>
  <c r="C10" i="11" s="1"/>
  <c r="AC5" i="3"/>
  <c r="C19" i="11" s="1"/>
  <c r="AC6" i="3"/>
  <c r="C3" i="11" s="1"/>
  <c r="AC19" i="3"/>
  <c r="C20" i="11" s="1"/>
  <c r="AC15" i="3"/>
  <c r="C4" i="11" s="1"/>
  <c r="AC2" i="3"/>
  <c r="C21" i="11" s="1"/>
  <c r="AC8" i="3"/>
  <c r="C12" i="11" s="1"/>
  <c r="AC4" i="3"/>
  <c r="C14" i="11" s="1"/>
  <c r="AC17" i="3"/>
  <c r="C17" i="11" s="1"/>
  <c r="G28" i="10"/>
  <c r="G27" i="10"/>
  <c r="G24" i="10"/>
  <c r="G23" i="10"/>
  <c r="C5" i="11" l="1"/>
  <c r="C2" i="11"/>
  <c r="C13" i="11"/>
  <c r="C8" i="11"/>
  <c r="C18" i="11"/>
  <c r="C15" i="11"/>
  <c r="C9" i="11"/>
  <c r="C11" i="11"/>
  <c r="B4" i="10" a="1"/>
  <c r="B4" i="10" s="1"/>
  <c r="A4" i="10" a="1"/>
  <c r="A4" i="10" s="1"/>
  <c r="B2" i="10" a="1"/>
  <c r="B2" i="10" s="1"/>
  <c r="A2" i="10" a="1"/>
  <c r="A2" i="10" l="1"/>
  <c r="AF6" i="5" l="1"/>
  <c r="AI6" i="5"/>
  <c r="AJ6" i="5"/>
  <c r="AA6" i="5"/>
  <c r="V6" i="5"/>
  <c r="Q6" i="5"/>
  <c r="L6" i="5"/>
  <c r="G6" i="5"/>
  <c r="AL2" i="1"/>
  <c r="D2" i="2" s="1"/>
  <c r="AO2" i="1"/>
  <c r="AP2" i="1"/>
  <c r="AG2" i="1"/>
  <c r="E2" i="2" s="1"/>
  <c r="Y2" i="1"/>
  <c r="Z2" i="1"/>
  <c r="AA2" i="1"/>
  <c r="V2" i="1"/>
  <c r="Q2" i="1"/>
  <c r="G2" i="2" s="1"/>
  <c r="F2" i="2"/>
  <c r="G2" i="1"/>
  <c r="B2" i="2" s="1"/>
  <c r="AB2" i="1" l="1"/>
  <c r="C2" i="2" s="1"/>
  <c r="AK6" i="5"/>
  <c r="Y4" i="6"/>
  <c r="G4" i="6"/>
  <c r="Y3" i="4"/>
  <c r="Z3" i="4"/>
  <c r="AA3" i="4"/>
  <c r="AE3" i="4"/>
  <c r="AF3" i="4"/>
  <c r="V3" i="4"/>
  <c r="Q3" i="4"/>
  <c r="L3" i="4"/>
  <c r="G3" i="4"/>
  <c r="B5" i="2" s="1"/>
  <c r="V4" i="6"/>
  <c r="Z4" i="6"/>
  <c r="Q4" i="6"/>
  <c r="L4" i="6"/>
  <c r="G6" i="6"/>
  <c r="G5" i="6"/>
  <c r="G2" i="6"/>
  <c r="G11" i="6"/>
  <c r="G13" i="6"/>
  <c r="G7" i="6"/>
  <c r="G10" i="6"/>
  <c r="G8" i="6"/>
  <c r="AF2" i="5"/>
  <c r="AI2" i="5"/>
  <c r="AJ2" i="5"/>
  <c r="AA2" i="5"/>
  <c r="V2" i="5"/>
  <c r="Q2" i="5"/>
  <c r="L2" i="5"/>
  <c r="G2" i="5"/>
  <c r="Y2" i="4"/>
  <c r="V2" i="4"/>
  <c r="Q2" i="4"/>
  <c r="L2" i="4"/>
  <c r="G2" i="4"/>
  <c r="L5" i="5"/>
  <c r="L4" i="5"/>
  <c r="G9" i="6"/>
  <c r="G12" i="6"/>
  <c r="G3" i="6"/>
  <c r="L9" i="6"/>
  <c r="L12" i="6"/>
  <c r="L3" i="6"/>
  <c r="L6" i="6"/>
  <c r="L5" i="6"/>
  <c r="L2" i="6"/>
  <c r="L11" i="6"/>
  <c r="L13" i="6"/>
  <c r="L7" i="6"/>
  <c r="L10" i="6"/>
  <c r="L8" i="6"/>
  <c r="Q9" i="6"/>
  <c r="Q12" i="6"/>
  <c r="Q3" i="6"/>
  <c r="Q6" i="6"/>
  <c r="Q5" i="6"/>
  <c r="Q2" i="6"/>
  <c r="Q11" i="6"/>
  <c r="Q13" i="6"/>
  <c r="Q7" i="6"/>
  <c r="Q10" i="6"/>
  <c r="Q8" i="6"/>
  <c r="V9" i="6"/>
  <c r="V12" i="6"/>
  <c r="V3" i="6"/>
  <c r="V6" i="6"/>
  <c r="V5" i="6"/>
  <c r="V2" i="6"/>
  <c r="V11" i="6"/>
  <c r="V13" i="6"/>
  <c r="V7" i="6"/>
  <c r="V10" i="6"/>
  <c r="V8" i="6"/>
  <c r="Z2" i="4"/>
  <c r="AA2" i="4"/>
  <c r="AI5" i="5"/>
  <c r="AJ5" i="5"/>
  <c r="AI4" i="5"/>
  <c r="AJ4" i="5"/>
  <c r="AJ3" i="5"/>
  <c r="AI3" i="5"/>
  <c r="V4" i="5"/>
  <c r="V5" i="5"/>
  <c r="V3" i="5"/>
  <c r="C4" i="2" s="1"/>
  <c r="G5" i="5"/>
  <c r="G4" i="5"/>
  <c r="Q5" i="5"/>
  <c r="Q4" i="5"/>
  <c r="AA5" i="5"/>
  <c r="AA4" i="5"/>
  <c r="AF5" i="5"/>
  <c r="AF4" i="5"/>
  <c r="AF3" i="5"/>
  <c r="D4" i="2" s="1"/>
  <c r="AA3" i="5"/>
  <c r="Q3" i="5"/>
  <c r="L3" i="5"/>
  <c r="F4" i="2" s="1"/>
  <c r="G3" i="5"/>
  <c r="I5" i="2" l="1"/>
  <c r="E4" i="2"/>
  <c r="AB4" i="5"/>
  <c r="B4" i="2"/>
  <c r="G4" i="2"/>
  <c r="H5" i="2"/>
  <c r="E6" i="2"/>
  <c r="C6" i="2"/>
  <c r="G6" i="2"/>
  <c r="B6" i="2"/>
  <c r="AQ2" i="1"/>
  <c r="AA6" i="6"/>
  <c r="AA3" i="6"/>
  <c r="AA9" i="6"/>
  <c r="AA12" i="6"/>
  <c r="H19" i="3"/>
  <c r="H16" i="3"/>
  <c r="H20" i="3"/>
  <c r="M19" i="3"/>
  <c r="M18" i="3"/>
  <c r="M16" i="3"/>
  <c r="M20" i="3"/>
  <c r="R20" i="3"/>
  <c r="R18" i="3"/>
  <c r="R16" i="3"/>
  <c r="R19" i="3"/>
  <c r="AG6" i="5"/>
  <c r="R6" i="5"/>
  <c r="W18" i="3"/>
  <c r="W20" i="3"/>
  <c r="W19" i="3"/>
  <c r="W16" i="3"/>
  <c r="H6" i="5"/>
  <c r="AM2" i="1"/>
  <c r="AH2" i="1"/>
  <c r="M6" i="5"/>
  <c r="R2" i="1"/>
  <c r="M2" i="1"/>
  <c r="W6" i="5"/>
  <c r="AB6" i="5"/>
  <c r="H2" i="1"/>
  <c r="AA11" i="6"/>
  <c r="AA5" i="6"/>
  <c r="AA8" i="6"/>
  <c r="AA2" i="6"/>
  <c r="AA4" i="6"/>
  <c r="AA10" i="6"/>
  <c r="AA7" i="6"/>
  <c r="AA13" i="6"/>
  <c r="Q2" i="7"/>
  <c r="J9" i="2" s="1"/>
  <c r="M6" i="9"/>
  <c r="H13" i="9"/>
  <c r="H6" i="9"/>
  <c r="H3" i="9"/>
  <c r="H14" i="9"/>
  <c r="H17" i="9"/>
  <c r="M4" i="6"/>
  <c r="H9" i="6"/>
  <c r="H6" i="6"/>
  <c r="H13" i="6"/>
  <c r="H8" i="6"/>
  <c r="H2" i="6"/>
  <c r="H5" i="6"/>
  <c r="H12" i="6"/>
  <c r="H11" i="6"/>
  <c r="H3" i="6"/>
  <c r="H4" i="6"/>
  <c r="H10" i="6"/>
  <c r="H7" i="6"/>
  <c r="M2" i="5"/>
  <c r="AK5" i="5"/>
  <c r="AB2" i="5"/>
  <c r="W2" i="5"/>
  <c r="R2" i="5"/>
  <c r="W19" i="8"/>
  <c r="M18" i="8"/>
  <c r="M10" i="8"/>
  <c r="M20" i="8"/>
  <c r="M13" i="8"/>
  <c r="R7" i="8"/>
  <c r="R5" i="8"/>
  <c r="R2" i="8"/>
  <c r="R13" i="8"/>
  <c r="R18" i="8"/>
  <c r="R10" i="8"/>
  <c r="R20" i="8"/>
  <c r="H19" i="8"/>
  <c r="H7" i="8"/>
  <c r="H12" i="8"/>
  <c r="H2" i="8"/>
  <c r="H20" i="8"/>
  <c r="H18" i="8"/>
  <c r="H10" i="8"/>
  <c r="H5" i="8"/>
  <c r="M3" i="4"/>
  <c r="R10" i="3"/>
  <c r="H3" i="4"/>
  <c r="R3" i="4"/>
  <c r="M10" i="3"/>
  <c r="M6" i="3"/>
  <c r="H6" i="3"/>
  <c r="H18" i="3"/>
  <c r="H10" i="3"/>
  <c r="H2" i="5"/>
  <c r="AK4" i="5"/>
  <c r="M14" i="9"/>
  <c r="M17" i="9"/>
  <c r="M3" i="9"/>
  <c r="M7" i="9"/>
  <c r="M13" i="9"/>
  <c r="H7" i="9"/>
  <c r="W18" i="8"/>
  <c r="W10" i="8"/>
  <c r="W7" i="8"/>
  <c r="W5" i="8"/>
  <c r="W2" i="8"/>
  <c r="W20" i="8"/>
  <c r="W4" i="8"/>
  <c r="W14" i="8"/>
  <c r="W17" i="8"/>
  <c r="W12" i="8"/>
  <c r="W6" i="8"/>
  <c r="W16" i="8"/>
  <c r="W3" i="8"/>
  <c r="W13" i="8"/>
  <c r="R4" i="8"/>
  <c r="R14" i="8"/>
  <c r="R17" i="8"/>
  <c r="R12" i="8"/>
  <c r="R19" i="8"/>
  <c r="R6" i="8"/>
  <c r="R16" i="8"/>
  <c r="R3" i="8"/>
  <c r="M4" i="8"/>
  <c r="M14" i="8"/>
  <c r="M17" i="8"/>
  <c r="M12" i="8"/>
  <c r="M6" i="8"/>
  <c r="M16" i="8"/>
  <c r="M3" i="8"/>
  <c r="M7" i="8"/>
  <c r="M5" i="8"/>
  <c r="M2" i="8"/>
  <c r="H4" i="8"/>
  <c r="H14" i="8"/>
  <c r="H17" i="8"/>
  <c r="H6" i="8"/>
  <c r="H16" i="8"/>
  <c r="H3" i="8"/>
  <c r="H13" i="8"/>
  <c r="W6" i="3"/>
  <c r="W10" i="3"/>
  <c r="W3" i="3"/>
  <c r="W17" i="3"/>
  <c r="R3" i="3"/>
  <c r="R17" i="3"/>
  <c r="R6" i="3"/>
  <c r="M3" i="3"/>
  <c r="M17" i="3"/>
  <c r="H3" i="3"/>
  <c r="H17" i="3"/>
  <c r="AB3" i="4"/>
  <c r="W4" i="6"/>
  <c r="R4" i="6"/>
  <c r="AG2" i="5"/>
  <c r="AK2" i="5"/>
  <c r="H15" i="3"/>
  <c r="H2" i="3"/>
  <c r="H13" i="3"/>
  <c r="H12" i="3"/>
  <c r="H11" i="3"/>
  <c r="H4" i="3"/>
  <c r="H14" i="3"/>
  <c r="H8" i="3"/>
  <c r="H9" i="3"/>
  <c r="H7" i="3"/>
  <c r="H8" i="8"/>
  <c r="H11" i="8"/>
  <c r="H9" i="8"/>
  <c r="W8" i="8"/>
  <c r="W11" i="8"/>
  <c r="W9" i="8"/>
  <c r="R8" i="8"/>
  <c r="R11" i="8"/>
  <c r="R9" i="8"/>
  <c r="M11" i="8"/>
  <c r="M19" i="8"/>
  <c r="M8" i="8"/>
  <c r="M9" i="8"/>
  <c r="H3" i="7"/>
  <c r="H2" i="7"/>
  <c r="H4" i="7"/>
  <c r="H5" i="7"/>
  <c r="H6" i="7"/>
  <c r="H4" i="5"/>
  <c r="H5" i="5"/>
  <c r="AK3" i="5"/>
  <c r="W3" i="5"/>
  <c r="W4" i="5"/>
  <c r="W5" i="5"/>
  <c r="S3" i="7" l="1"/>
  <c r="S6" i="7"/>
  <c r="S5" i="7"/>
  <c r="S4" i="7"/>
  <c r="J6" i="2"/>
  <c r="AB18" i="3"/>
  <c r="AB16" i="3"/>
  <c r="AB20" i="3"/>
  <c r="AB19" i="3"/>
  <c r="AL6" i="5"/>
  <c r="X6" i="5"/>
  <c r="I14" i="9"/>
  <c r="I8" i="9"/>
  <c r="I9" i="9"/>
  <c r="I13" i="9"/>
  <c r="I2" i="9"/>
  <c r="I17" i="9"/>
  <c r="I15" i="9"/>
  <c r="I18" i="9"/>
  <c r="I10" i="9"/>
  <c r="I6" i="9"/>
  <c r="I16" i="9"/>
  <c r="I3" i="9"/>
  <c r="I4" i="9"/>
  <c r="I5" i="9"/>
  <c r="I12" i="9"/>
  <c r="I7" i="9"/>
  <c r="I2" i="7"/>
  <c r="I16" i="8"/>
  <c r="I6" i="8"/>
  <c r="I7" i="8"/>
  <c r="I13" i="8"/>
  <c r="I12" i="8"/>
  <c r="I17" i="8"/>
  <c r="I14" i="8"/>
  <c r="I4" i="8"/>
  <c r="I20" i="8"/>
  <c r="I10" i="8"/>
  <c r="I18" i="8"/>
  <c r="I3" i="8"/>
  <c r="I5" i="8"/>
  <c r="AB17" i="3"/>
  <c r="AB3" i="3"/>
  <c r="AB10" i="3"/>
  <c r="AB6" i="3"/>
  <c r="AG3" i="4"/>
  <c r="AL2" i="5"/>
  <c r="X2" i="5"/>
  <c r="X4" i="5"/>
  <c r="X5" i="5"/>
  <c r="AB2" i="4"/>
  <c r="C5" i="2" s="1"/>
  <c r="AR2" i="1" l="1"/>
  <c r="AC2" i="1"/>
  <c r="C21" i="13"/>
  <c r="C23" i="13"/>
  <c r="C22" i="13"/>
  <c r="C20" i="13"/>
  <c r="S2" i="7"/>
  <c r="C19" i="13" s="1"/>
  <c r="AC3" i="4"/>
  <c r="AD2" i="1"/>
  <c r="AF2" i="4"/>
  <c r="AE2" i="4"/>
  <c r="P2" i="7"/>
  <c r="O2" i="7"/>
  <c r="Z9" i="6"/>
  <c r="Z12" i="6"/>
  <c r="Z3" i="6"/>
  <c r="Z6" i="6"/>
  <c r="Z5" i="6"/>
  <c r="Z2" i="6"/>
  <c r="Z11" i="6"/>
  <c r="Z13" i="6"/>
  <c r="Z7" i="6"/>
  <c r="Z10" i="6"/>
  <c r="Z8" i="6"/>
  <c r="Y9" i="6"/>
  <c r="Y12" i="6"/>
  <c r="Y3" i="6"/>
  <c r="Y6" i="6"/>
  <c r="Y5" i="6"/>
  <c r="Y2" i="6"/>
  <c r="Y11" i="6"/>
  <c r="Y13" i="6"/>
  <c r="Y7" i="6"/>
  <c r="Y10" i="6"/>
  <c r="Y8" i="6"/>
  <c r="AG2" i="4" l="1"/>
  <c r="J5" i="2" s="1"/>
  <c r="W13" i="3"/>
  <c r="R13" i="3"/>
  <c r="M13" i="3"/>
  <c r="AG3" i="5"/>
  <c r="AG5" i="5"/>
  <c r="AG4" i="5"/>
  <c r="AB5" i="5"/>
  <c r="R3" i="5"/>
  <c r="R4" i="5"/>
  <c r="R5" i="5"/>
  <c r="M4" i="5"/>
  <c r="M5" i="5"/>
  <c r="M3" i="5"/>
  <c r="H3" i="5"/>
  <c r="AN2" i="1"/>
  <c r="AI2" i="1"/>
  <c r="S2" i="1"/>
  <c r="N2" i="1"/>
  <c r="I2" i="1"/>
  <c r="M5" i="9"/>
  <c r="H5" i="9"/>
  <c r="M2" i="9"/>
  <c r="H2" i="9"/>
  <c r="M10" i="9"/>
  <c r="H10" i="9"/>
  <c r="M9" i="9"/>
  <c r="H9" i="9"/>
  <c r="M18" i="9"/>
  <c r="H18" i="9"/>
  <c r="M12" i="9"/>
  <c r="H12" i="9"/>
  <c r="M16" i="9"/>
  <c r="H16" i="9"/>
  <c r="M4" i="9"/>
  <c r="H4" i="9"/>
  <c r="M11" i="9"/>
  <c r="H11" i="9"/>
  <c r="M8" i="9"/>
  <c r="H8" i="9"/>
  <c r="H1048572" i="9" s="1"/>
  <c r="M15" i="9"/>
  <c r="H15" i="9"/>
  <c r="H1048562" i="8"/>
  <c r="W15" i="8"/>
  <c r="R15" i="8"/>
  <c r="M15" i="8"/>
  <c r="H15" i="8"/>
  <c r="M3" i="7"/>
  <c r="M2" i="7"/>
  <c r="M4" i="7"/>
  <c r="M6" i="7"/>
  <c r="H1048562" i="7"/>
  <c r="M5" i="7"/>
  <c r="W8" i="6"/>
  <c r="R8" i="6"/>
  <c r="M8" i="6"/>
  <c r="W10" i="6"/>
  <c r="R10" i="6"/>
  <c r="M10" i="6"/>
  <c r="W7" i="6"/>
  <c r="R7" i="6"/>
  <c r="M7" i="6"/>
  <c r="W13" i="6"/>
  <c r="R13" i="6"/>
  <c r="M13" i="6"/>
  <c r="W11" i="6"/>
  <c r="R11" i="6"/>
  <c r="M11" i="6"/>
  <c r="W2" i="6"/>
  <c r="R2" i="6"/>
  <c r="M2" i="6"/>
  <c r="W5" i="6"/>
  <c r="R5" i="6"/>
  <c r="M5" i="6"/>
  <c r="W6" i="6"/>
  <c r="R6" i="6"/>
  <c r="M6" i="6"/>
  <c r="W3" i="6"/>
  <c r="R3" i="6"/>
  <c r="M3" i="6"/>
  <c r="W12" i="6"/>
  <c r="R12" i="6"/>
  <c r="M12" i="6"/>
  <c r="W9" i="6"/>
  <c r="R9" i="6"/>
  <c r="M9" i="6"/>
  <c r="AC2" i="4"/>
  <c r="R2" i="4"/>
  <c r="M2" i="4"/>
  <c r="H2" i="4"/>
  <c r="W12" i="3"/>
  <c r="R12" i="3"/>
  <c r="M12" i="3"/>
  <c r="W11" i="3"/>
  <c r="R11" i="3"/>
  <c r="M11" i="3"/>
  <c r="W4" i="3"/>
  <c r="R4" i="3"/>
  <c r="M4" i="3"/>
  <c r="W15" i="3"/>
  <c r="R15" i="3"/>
  <c r="M15" i="3"/>
  <c r="W9" i="3"/>
  <c r="R9" i="3"/>
  <c r="M9" i="3"/>
  <c r="W2" i="3"/>
  <c r="R2" i="3"/>
  <c r="M2" i="3"/>
  <c r="W14" i="3"/>
  <c r="R14" i="3"/>
  <c r="M14" i="3"/>
  <c r="W7" i="3"/>
  <c r="R7" i="3"/>
  <c r="M7" i="3"/>
  <c r="H1048572" i="3"/>
  <c r="W8" i="3"/>
  <c r="R8" i="3"/>
  <c r="M8" i="3"/>
  <c r="W5" i="3"/>
  <c r="R5" i="3"/>
  <c r="M5" i="3"/>
  <c r="H5" i="3"/>
  <c r="AH6" i="5" l="1"/>
  <c r="AC6" i="5"/>
  <c r="S6" i="5"/>
  <c r="N6" i="5"/>
  <c r="I6" i="5"/>
  <c r="H1048570" i="4"/>
  <c r="H1048563" i="5"/>
  <c r="R7" i="9"/>
  <c r="R17" i="9"/>
  <c r="R14" i="9"/>
  <c r="R6" i="9"/>
  <c r="R13" i="9"/>
  <c r="R3" i="9"/>
  <c r="AB4" i="6"/>
  <c r="AB16" i="8"/>
  <c r="AB4" i="8"/>
  <c r="AB19" i="8"/>
  <c r="AB11" i="8"/>
  <c r="AB18" i="8"/>
  <c r="AB17" i="8"/>
  <c r="AB13" i="8"/>
  <c r="AB8" i="8"/>
  <c r="AB6" i="8"/>
  <c r="AB5" i="8"/>
  <c r="AB3" i="8"/>
  <c r="AB20" i="8"/>
  <c r="AB10" i="8"/>
  <c r="AB12" i="8"/>
  <c r="AB2" i="8"/>
  <c r="AB14" i="8"/>
  <c r="AB7" i="8"/>
  <c r="AB9" i="8"/>
  <c r="AH3" i="4"/>
  <c r="AD3" i="4"/>
  <c r="S3" i="4"/>
  <c r="N3" i="4"/>
  <c r="I3" i="4"/>
  <c r="X8" i="6"/>
  <c r="X4" i="6"/>
  <c r="S11" i="6"/>
  <c r="S4" i="6"/>
  <c r="N13" i="6"/>
  <c r="N4" i="6"/>
  <c r="I6" i="6"/>
  <c r="I7" i="6"/>
  <c r="I10" i="6"/>
  <c r="I4" i="6"/>
  <c r="I13" i="6"/>
  <c r="I8" i="6"/>
  <c r="I5" i="6"/>
  <c r="I11" i="6"/>
  <c r="I2" i="6"/>
  <c r="AH2" i="5"/>
  <c r="AC2" i="5"/>
  <c r="S2" i="5"/>
  <c r="N2" i="5"/>
  <c r="I4" i="5"/>
  <c r="I2" i="5"/>
  <c r="R9" i="9"/>
  <c r="S3" i="6"/>
  <c r="R12" i="9"/>
  <c r="S12" i="6"/>
  <c r="S13" i="6"/>
  <c r="R8" i="9"/>
  <c r="S2" i="6"/>
  <c r="S9" i="6"/>
  <c r="AB15" i="8"/>
  <c r="AB13" i="3"/>
  <c r="R3" i="7"/>
  <c r="N2" i="7"/>
  <c r="R6" i="7"/>
  <c r="R5" i="7"/>
  <c r="R4" i="7"/>
  <c r="R2" i="7"/>
  <c r="N10" i="6"/>
  <c r="N2" i="6"/>
  <c r="X5" i="6"/>
  <c r="N8" i="6"/>
  <c r="X10" i="6"/>
  <c r="X13" i="6"/>
  <c r="S6" i="6"/>
  <c r="X2" i="6"/>
  <c r="X11" i="6"/>
  <c r="S8" i="6"/>
  <c r="X9" i="6"/>
  <c r="N6" i="6"/>
  <c r="S7" i="6"/>
  <c r="N12" i="6"/>
  <c r="X7" i="6"/>
  <c r="X12" i="6"/>
  <c r="X6" i="6"/>
  <c r="X3" i="6"/>
  <c r="S5" i="6"/>
  <c r="N9" i="6"/>
  <c r="N7" i="6"/>
  <c r="N11" i="6"/>
  <c r="S10" i="6"/>
  <c r="N5" i="6"/>
  <c r="N3" i="6"/>
  <c r="N4" i="5"/>
  <c r="N5" i="5"/>
  <c r="J4" i="2"/>
  <c r="AL3" i="5"/>
  <c r="AL4" i="5"/>
  <c r="AL5" i="5"/>
  <c r="I5" i="5"/>
  <c r="AC4" i="5"/>
  <c r="AH4" i="5"/>
  <c r="AH3" i="5"/>
  <c r="AH5" i="5"/>
  <c r="S4" i="5"/>
  <c r="AC3" i="5"/>
  <c r="S5" i="5"/>
  <c r="AC5" i="5"/>
  <c r="S3" i="5"/>
  <c r="N3" i="5"/>
  <c r="I3" i="5"/>
  <c r="J2" i="2"/>
  <c r="AS2" i="1" s="1"/>
  <c r="I2" i="4"/>
  <c r="AH2" i="4"/>
  <c r="S2" i="4"/>
  <c r="N2" i="4"/>
  <c r="I9" i="6"/>
  <c r="I12" i="6"/>
  <c r="I3" i="6"/>
  <c r="I9" i="8"/>
  <c r="I11" i="8"/>
  <c r="I8" i="8"/>
  <c r="I19" i="8"/>
  <c r="I15" i="8"/>
  <c r="R15" i="9"/>
  <c r="R4" i="9"/>
  <c r="R18" i="9"/>
  <c r="R5" i="9"/>
  <c r="R11" i="9"/>
  <c r="R2" i="9"/>
  <c r="R16" i="9"/>
  <c r="R10" i="9"/>
  <c r="AD2" i="4"/>
  <c r="AB6" i="6"/>
  <c r="AB3" i="6"/>
  <c r="AB11" i="6"/>
  <c r="AC4" i="6"/>
  <c r="AB9" i="6"/>
  <c r="AB7" i="6"/>
  <c r="AB10" i="6"/>
  <c r="AB12" i="6"/>
  <c r="AB5" i="6"/>
  <c r="AB2" i="6"/>
  <c r="AB8" i="6"/>
  <c r="AB13" i="6"/>
  <c r="AB8" i="3"/>
  <c r="AB12" i="3"/>
  <c r="AB2" i="3"/>
  <c r="AB15" i="3"/>
  <c r="AB5" i="3"/>
  <c r="AB7" i="3"/>
  <c r="AB9" i="3"/>
  <c r="AB14" i="3"/>
  <c r="AB4" i="3"/>
  <c r="AB11" i="3"/>
  <c r="H1048566" i="1"/>
  <c r="C3" i="10" l="1"/>
  <c r="AM6" i="5"/>
  <c r="C26" i="11" s="1"/>
  <c r="C17" i="13"/>
  <c r="C3" i="13"/>
  <c r="C13" i="13"/>
  <c r="C18" i="13"/>
  <c r="C10" i="13"/>
  <c r="C16" i="13"/>
  <c r="C9" i="13"/>
  <c r="C7" i="13"/>
  <c r="C14" i="13"/>
  <c r="C15" i="13"/>
  <c r="C6" i="13"/>
  <c r="C12" i="13"/>
  <c r="C4" i="13"/>
  <c r="C8" i="13"/>
  <c r="C5" i="13"/>
  <c r="C11" i="13"/>
  <c r="C6" i="12"/>
  <c r="C3" i="12"/>
  <c r="C9" i="12"/>
  <c r="C19" i="12"/>
  <c r="C14" i="12"/>
  <c r="C7" i="12"/>
  <c r="C13" i="12"/>
  <c r="C12" i="12"/>
  <c r="C18" i="12"/>
  <c r="C10" i="12"/>
  <c r="C5" i="12"/>
  <c r="C15" i="12"/>
  <c r="C8" i="12"/>
  <c r="AI3" i="4"/>
  <c r="AM3" i="5"/>
  <c r="AM2" i="5"/>
  <c r="C17" i="12"/>
  <c r="C4" i="12"/>
  <c r="C16" i="12"/>
  <c r="C11" i="12"/>
  <c r="C20" i="12"/>
  <c r="I1048562" i="7"/>
  <c r="AM4" i="5"/>
  <c r="C23" i="11" s="1"/>
  <c r="AM5" i="5"/>
  <c r="C24" i="11" s="1"/>
  <c r="I1048566" i="1"/>
  <c r="I1048570" i="4"/>
  <c r="I1048564" i="6"/>
  <c r="I1048562" i="8"/>
  <c r="I1048572" i="9"/>
  <c r="AI2" i="4"/>
  <c r="C5" i="10" s="1"/>
  <c r="AC13" i="6"/>
  <c r="C31" i="12" s="1"/>
  <c r="AC5" i="6"/>
  <c r="C23" i="12" s="1"/>
  <c r="AC6" i="6"/>
  <c r="C24" i="12" s="1"/>
  <c r="AC9" i="6"/>
  <c r="AC7" i="6"/>
  <c r="C28" i="12" s="1"/>
  <c r="AC10" i="6"/>
  <c r="AC12" i="6"/>
  <c r="AC2" i="6"/>
  <c r="C22" i="12" s="1"/>
  <c r="AC8" i="6"/>
  <c r="C25" i="12" s="1"/>
  <c r="AC3" i="6"/>
  <c r="C29" i="12" s="1"/>
  <c r="AC11" i="6"/>
  <c r="C30" i="12" s="1"/>
  <c r="I1048563" i="5"/>
  <c r="I1048572" i="3"/>
  <c r="C4" i="10" l="1"/>
  <c r="C26" i="12"/>
  <c r="C27" i="12"/>
  <c r="C32" i="12"/>
  <c r="C21" i="12"/>
  <c r="C22" i="11"/>
  <c r="C25" i="11"/>
  <c r="B80" i="11" a="1"/>
  <c r="B80" i="11" s="1"/>
  <c r="D79" i="11" a="1"/>
  <c r="D79" i="11" s="1"/>
  <c r="C79" i="11" a="1"/>
  <c r="C79" i="11" s="1"/>
  <c r="D80" i="11" a="1"/>
  <c r="D80" i="11" s="1"/>
  <c r="E79" i="11" a="1"/>
  <c r="E79" i="11" s="1"/>
  <c r="B79" i="11" a="1"/>
  <c r="B79" i="11" s="1"/>
  <c r="E80" i="11" a="1"/>
  <c r="E80" i="11" s="1"/>
  <c r="C80" i="11" a="1"/>
  <c r="C80" i="11" s="1"/>
  <c r="B57" i="13" a="1"/>
  <c r="B57" i="13" s="1"/>
  <c r="D58" i="13" a="1"/>
  <c r="D58" i="13" s="1"/>
  <c r="E58" i="13" a="1"/>
  <c r="E58" i="13" s="1"/>
  <c r="C59" i="13" a="1"/>
  <c r="C59" i="13" s="1"/>
  <c r="D59" i="13" a="1"/>
  <c r="D59" i="13" s="1"/>
  <c r="D60" i="13" a="1"/>
  <c r="D60" i="13" s="1"/>
  <c r="B62" i="13" a="1"/>
  <c r="B62" i="13" s="1"/>
  <c r="B60" i="13" a="1"/>
  <c r="B60" i="13" s="1"/>
  <c r="C57" i="13" a="1"/>
  <c r="C57" i="13" s="1"/>
  <c r="E60" i="13" a="1"/>
  <c r="E60" i="13" s="1"/>
  <c r="C58" i="13" a="1"/>
  <c r="C58" i="13" s="1"/>
  <c r="C56" i="13" a="1"/>
  <c r="C56" i="13" s="1"/>
  <c r="C60" i="13" a="1"/>
  <c r="C60" i="13" s="1"/>
  <c r="B58" i="13" a="1"/>
  <c r="B58" i="13" s="1"/>
  <c r="C62" i="13" a="1"/>
  <c r="C62" i="13" s="1"/>
  <c r="E57" i="13" a="1"/>
  <c r="E57" i="13" s="1"/>
  <c r="D62" i="13" a="1"/>
  <c r="D62" i="13" s="1"/>
  <c r="C61" i="13" a="1"/>
  <c r="C61" i="13" s="1"/>
  <c r="B56" i="13" a="1"/>
  <c r="B56" i="13" s="1"/>
  <c r="D57" i="13" a="1"/>
  <c r="D57" i="13" s="1"/>
  <c r="D61" i="13" a="1"/>
  <c r="D61" i="13" s="1"/>
  <c r="B61" i="13" a="1"/>
  <c r="B61" i="13" s="1"/>
  <c r="E59" i="13" a="1"/>
  <c r="E59" i="13" s="1"/>
  <c r="E61" i="13" a="1"/>
  <c r="E61" i="13" s="1"/>
  <c r="B59" i="13" a="1"/>
  <c r="B59" i="13" s="1"/>
  <c r="E56" i="13" a="1"/>
  <c r="E56" i="13" s="1"/>
  <c r="D56" i="13" a="1"/>
  <c r="D56" i="13" s="1"/>
  <c r="E62" i="13" a="1"/>
  <c r="E62" i="13" s="1"/>
  <c r="B69" i="12" a="1"/>
  <c r="B69" i="12" s="1"/>
  <c r="C69" i="12" a="1"/>
  <c r="C69" i="12" s="1"/>
  <c r="C68" i="12" a="1"/>
  <c r="C68" i="12" s="1"/>
  <c r="E67" i="12" a="1"/>
  <c r="E67" i="12" s="1"/>
  <c r="E69" i="12" a="1"/>
  <c r="E69" i="12" s="1"/>
  <c r="C67" i="12" a="1"/>
  <c r="C67" i="12" s="1"/>
  <c r="B71" i="12" a="1"/>
  <c r="B71" i="12" s="1"/>
  <c r="C66" i="12" a="1"/>
  <c r="C66" i="12" s="1"/>
  <c r="B72" i="12" a="1"/>
  <c r="B72" i="12" s="1"/>
  <c r="B68" i="12" a="1"/>
  <c r="B68" i="12" s="1"/>
  <c r="E72" i="12" a="1"/>
  <c r="E72" i="12" s="1"/>
  <c r="C72" i="12" a="1"/>
  <c r="C72" i="12" s="1"/>
  <c r="B70" i="12" a="1"/>
  <c r="B70" i="12" s="1"/>
  <c r="D69" i="12" a="1"/>
  <c r="D69" i="12" s="1"/>
  <c r="D67" i="12" a="1"/>
  <c r="D67" i="12" s="1"/>
  <c r="B73" i="12" a="1"/>
  <c r="B73" i="12" s="1"/>
  <c r="D74" i="11" a="1"/>
  <c r="D74" i="11" s="1"/>
  <c r="C76" i="11" a="1"/>
  <c r="C76" i="11" s="1"/>
  <c r="B75" i="11" a="1"/>
  <c r="B75" i="11" s="1"/>
  <c r="B72" i="11" a="1"/>
  <c r="B72" i="11" s="1"/>
  <c r="B73" i="11" a="1"/>
  <c r="B73" i="11" s="1"/>
  <c r="E77" i="11" a="1"/>
  <c r="E77" i="11" s="1"/>
  <c r="B77" i="11" a="1"/>
  <c r="B77" i="11" s="1"/>
  <c r="D78" i="11" a="1"/>
  <c r="D78" i="11" s="1"/>
  <c r="C74" i="11" a="1"/>
  <c r="C74" i="11" s="1"/>
  <c r="E73" i="11" a="1"/>
  <c r="E73" i="11" s="1"/>
  <c r="C73" i="11" a="1"/>
  <c r="C73" i="11" s="1"/>
  <c r="B76" i="11" a="1"/>
  <c r="B76" i="11" s="1"/>
  <c r="D73" i="11" a="1"/>
  <c r="D73" i="11" s="1"/>
  <c r="D77" i="11" a="1"/>
  <c r="D77" i="11" s="1"/>
  <c r="C78" i="11" a="1"/>
  <c r="C78" i="11" s="1"/>
  <c r="D72" i="12" a="1"/>
  <c r="D72" i="12" s="1"/>
  <c r="D66" i="12" a="1"/>
  <c r="D66" i="12" s="1"/>
  <c r="D68" i="12" a="1"/>
  <c r="D68" i="12" s="1"/>
  <c r="D73" i="12" a="1"/>
  <c r="D73" i="12" s="1"/>
  <c r="D70" i="12" a="1"/>
  <c r="D70" i="12" s="1"/>
  <c r="C71" i="12" a="1"/>
  <c r="C71" i="12" s="1"/>
  <c r="E70" i="12" a="1"/>
  <c r="E70" i="12" s="1"/>
  <c r="C73" i="12" a="1"/>
  <c r="C73" i="12" s="1"/>
  <c r="E68" i="12" a="1"/>
  <c r="E68" i="12" s="1"/>
  <c r="E73" i="12" a="1"/>
  <c r="E73" i="12" s="1"/>
  <c r="D71" i="12" a="1"/>
  <c r="D71" i="12" s="1"/>
  <c r="E66" i="12" a="1"/>
  <c r="E66" i="12" s="1"/>
  <c r="C70" i="12" a="1"/>
  <c r="C70" i="12" s="1"/>
  <c r="E71" i="12" a="1"/>
  <c r="E71" i="12" s="1"/>
  <c r="B66" i="12" a="1"/>
  <c r="B66" i="12" s="1"/>
  <c r="B67" i="12" a="1"/>
  <c r="B67" i="12" s="1"/>
  <c r="B74" i="11" a="1"/>
  <c r="B74" i="11" s="1"/>
  <c r="E76" i="11" a="1"/>
  <c r="E76" i="11" s="1"/>
  <c r="B78" i="11" a="1"/>
  <c r="B78" i="11" s="1"/>
  <c r="E72" i="11" a="1"/>
  <c r="E72" i="11" s="1"/>
  <c r="D75" i="11" a="1"/>
  <c r="D75" i="11" s="1"/>
  <c r="E75" i="11" a="1"/>
  <c r="E75" i="11" s="1"/>
  <c r="C77" i="11" a="1"/>
  <c r="C77" i="11" s="1"/>
  <c r="E74" i="11" a="1"/>
  <c r="E74" i="11" s="1"/>
  <c r="E78" i="11" a="1"/>
  <c r="E78" i="11" s="1"/>
  <c r="D76" i="11" a="1"/>
  <c r="D76" i="11" s="1"/>
  <c r="C72" i="11" a="1"/>
  <c r="C72" i="11" s="1"/>
  <c r="D72" i="11" a="1"/>
  <c r="D72" i="11" s="1"/>
  <c r="C75" i="11" a="1"/>
  <c r="C75" i="11" s="1"/>
  <c r="B27" i="10" a="1"/>
  <c r="B27" i="10" s="1"/>
  <c r="C28" i="10" a="1"/>
  <c r="C28" i="10" s="1"/>
  <c r="D27" i="10" a="1"/>
  <c r="D27" i="10" s="1"/>
  <c r="E28" i="10" a="1"/>
  <c r="E28" i="10" s="1"/>
  <c r="C27" i="10" a="1"/>
  <c r="C27" i="10" s="1"/>
  <c r="E27" i="10" a="1"/>
  <c r="E27" i="10" s="1"/>
  <c r="D28" i="10" a="1"/>
  <c r="D28" i="10" s="1"/>
  <c r="B28" i="10" a="1"/>
  <c r="B28" i="10" s="1"/>
  <c r="X3" i="5"/>
  <c r="A8" i="14" l="1" a="1"/>
  <c r="A8" i="14" s="1"/>
  <c r="A32" i="14" a="1"/>
  <c r="A32" i="14" s="1"/>
  <c r="A20" i="14" a="1"/>
  <c r="A20" i="14" s="1"/>
  <c r="A2" i="14" a="1"/>
  <c r="A2" i="1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<sst xmlns="http://schemas.openxmlformats.org/spreadsheetml/2006/main" count="608" uniqueCount="182">
  <si>
    <t>University / Institution</t>
  </si>
  <si>
    <t>Name</t>
  </si>
  <si>
    <t>FX</t>
  </si>
  <si>
    <t>FX League Points</t>
  </si>
  <si>
    <t>PH</t>
  </si>
  <si>
    <t>PH League Points</t>
  </si>
  <si>
    <t>SR</t>
  </si>
  <si>
    <t>SR League Points</t>
  </si>
  <si>
    <t>VT</t>
  </si>
  <si>
    <t>VT League Points</t>
  </si>
  <si>
    <t>PB</t>
  </si>
  <si>
    <t>PB League Points</t>
  </si>
  <si>
    <t>HB</t>
  </si>
  <si>
    <t>HB League Points</t>
  </si>
  <si>
    <t>AA</t>
  </si>
  <si>
    <t>Elite Men</t>
  </si>
  <si>
    <t>BB</t>
  </si>
  <si>
    <t>UB</t>
  </si>
  <si>
    <t>Elite Women</t>
  </si>
  <si>
    <t>Intermediate Men</t>
  </si>
  <si>
    <t>Intermediate Women</t>
  </si>
  <si>
    <t>Novice Men</t>
  </si>
  <si>
    <t>Novice Women</t>
  </si>
  <si>
    <t>BB League Points</t>
  </si>
  <si>
    <t>UB League Points</t>
  </si>
  <si>
    <t>Advanced Men</t>
  </si>
  <si>
    <t>Advanced Women</t>
  </si>
  <si>
    <t>Guest?</t>
  </si>
  <si>
    <t>FX Total</t>
  </si>
  <si>
    <t>FX D</t>
  </si>
  <si>
    <t>Number</t>
  </si>
  <si>
    <t>PH Total</t>
  </si>
  <si>
    <t>PH D</t>
  </si>
  <si>
    <t>SR D</t>
  </si>
  <si>
    <t>SR Total</t>
  </si>
  <si>
    <t>VT D</t>
  </si>
  <si>
    <t>VT Total</t>
  </si>
  <si>
    <t>PB D</t>
  </si>
  <si>
    <t>PB Total</t>
  </si>
  <si>
    <t>HB D</t>
  </si>
  <si>
    <t>HB Total</t>
  </si>
  <si>
    <t>AA D</t>
  </si>
  <si>
    <t>AA League Points</t>
  </si>
  <si>
    <t>AA Total</t>
  </si>
  <si>
    <t>BB D</t>
  </si>
  <si>
    <t>BB Total</t>
  </si>
  <si>
    <t>UB D</t>
  </si>
  <si>
    <t>UB Total</t>
  </si>
  <si>
    <t>AA League Score</t>
  </si>
  <si>
    <t>VT 1 D</t>
  </si>
  <si>
    <t>VT 2 D</t>
  </si>
  <si>
    <t>VT 1 Total</t>
  </si>
  <si>
    <t>VT 2 Total</t>
  </si>
  <si>
    <t xml:space="preserve">VT Average </t>
  </si>
  <si>
    <t>VT Average</t>
  </si>
  <si>
    <t>VT E Deductions Avg</t>
  </si>
  <si>
    <t>VT D Average</t>
  </si>
  <si>
    <t>PH E Deductions</t>
  </si>
  <si>
    <t>SR E Deductions</t>
  </si>
  <si>
    <t>VT 1 E Deductions</t>
  </si>
  <si>
    <t>VT 2 E Deductions</t>
  </si>
  <si>
    <t>PB E Deductions</t>
  </si>
  <si>
    <t>HB E Deductions</t>
  </si>
  <si>
    <t>AA E Deductions</t>
  </si>
  <si>
    <t>VT E Deductions</t>
  </si>
  <si>
    <t>FX E Deductions</t>
  </si>
  <si>
    <t>VT E Average</t>
  </si>
  <si>
    <t>BB E Deductions</t>
  </si>
  <si>
    <t>UB E Deductions</t>
  </si>
  <si>
    <t>Portsmouth</t>
  </si>
  <si>
    <t>Finlay Morgan</t>
  </si>
  <si>
    <t>Aberdeen University Gymnastics Club</t>
  </si>
  <si>
    <t>Robbie White</t>
  </si>
  <si>
    <t>Cardiff Met Gymnastics</t>
  </si>
  <si>
    <t>UEA Gymnastics Club</t>
  </si>
  <si>
    <t>University of Birmingham Gymnastics</t>
  </si>
  <si>
    <t>Rémi Théron</t>
  </si>
  <si>
    <t>Rob Scott</t>
  </si>
  <si>
    <t>Brandon Sinclair</t>
  </si>
  <si>
    <t>Adam Staggs</t>
  </si>
  <si>
    <t>Alex Linley-Hill</t>
  </si>
  <si>
    <t>Rushani Arumugham</t>
  </si>
  <si>
    <t>Gianna Webbe</t>
  </si>
  <si>
    <t>Lucy Griffiths</t>
  </si>
  <si>
    <t>Heather Nixey</t>
  </si>
  <si>
    <t>Abbie Godsall</t>
  </si>
  <si>
    <t>Kayleigh Gazmuri-Symmes</t>
  </si>
  <si>
    <t>Abbie Moore</t>
  </si>
  <si>
    <t>Molly Robson</t>
  </si>
  <si>
    <t>Olivia Han</t>
  </si>
  <si>
    <t>Elizabeth Payne</t>
  </si>
  <si>
    <t>Eve Linfoot</t>
  </si>
  <si>
    <t>Seren Richards</t>
  </si>
  <si>
    <t>Glesni Powell</t>
  </si>
  <si>
    <t>Thea Jones</t>
  </si>
  <si>
    <t>Irisz Kalman</t>
  </si>
  <si>
    <t>Position</t>
  </si>
  <si>
    <t>Archie Belfield</t>
  </si>
  <si>
    <t>University of London Gymnastics Club</t>
  </si>
  <si>
    <t>Suryava Bhattacharya</t>
  </si>
  <si>
    <t>Maddie Boyce</t>
  </si>
  <si>
    <t>Juliette Sens</t>
  </si>
  <si>
    <t>Amy Osborne</t>
  </si>
  <si>
    <t>Xanthe Kingsman</t>
  </si>
  <si>
    <t>Skye Sands</t>
  </si>
  <si>
    <t>Row Labels</t>
  </si>
  <si>
    <t>Sum of AA League Score</t>
  </si>
  <si>
    <t>Grand Total</t>
  </si>
  <si>
    <t>Column Labels</t>
  </si>
  <si>
    <t>University</t>
  </si>
  <si>
    <t>Score 1</t>
  </si>
  <si>
    <t>Score 2</t>
  </si>
  <si>
    <t>Score 3</t>
  </si>
  <si>
    <t>Score 4</t>
  </si>
  <si>
    <t>Total:</t>
  </si>
  <si>
    <t>Gymnast 1</t>
  </si>
  <si>
    <t>Gymnast 2</t>
  </si>
  <si>
    <t>Gymnast 3</t>
  </si>
  <si>
    <t>Gymnast 4</t>
  </si>
  <si>
    <t>Advanced</t>
  </si>
  <si>
    <t>Total</t>
  </si>
  <si>
    <t>Rank</t>
  </si>
  <si>
    <t xml:space="preserve">Intermediate </t>
  </si>
  <si>
    <t>Novice</t>
  </si>
  <si>
    <t>University of Southampton</t>
  </si>
  <si>
    <t>University of Surrey Gymnastics</t>
  </si>
  <si>
    <t>Will Evans</t>
  </si>
  <si>
    <t>Pavalan Mootoosamy</t>
  </si>
  <si>
    <t>Daniel Poller</t>
  </si>
  <si>
    <t>Ethan Betty</t>
  </si>
  <si>
    <t>Chester Camm</t>
  </si>
  <si>
    <t>James Hearn</t>
  </si>
  <si>
    <t>Oliver Dale</t>
  </si>
  <si>
    <t>Jonny Gilbey</t>
  </si>
  <si>
    <t>Vinh Lam</t>
  </si>
  <si>
    <t>Aymen Alshawi</t>
  </si>
  <si>
    <t>FXU (falmouth and Exeter)</t>
  </si>
  <si>
    <t>Owen Lloyd</t>
  </si>
  <si>
    <t>Jake Pettman</t>
  </si>
  <si>
    <t>Luc Orgueil</t>
  </si>
  <si>
    <t>Jude Rolfe-Tarrant</t>
  </si>
  <si>
    <t>Lizzy Quigley</t>
  </si>
  <si>
    <t>Olivia Bell</t>
  </si>
  <si>
    <t>Lauren Colquhoun</t>
  </si>
  <si>
    <t>Jess Fyvie</t>
  </si>
  <si>
    <t>Diamond Dill</t>
  </si>
  <si>
    <t>Megan Harper</t>
  </si>
  <si>
    <t>Y</t>
  </si>
  <si>
    <t>Esther Haigh</t>
  </si>
  <si>
    <t>Leah White</t>
  </si>
  <si>
    <t>Karley Moreton</t>
  </si>
  <si>
    <t>Megan Allan</t>
  </si>
  <si>
    <t>Hannah Edwards</t>
  </si>
  <si>
    <t>Abbie Stubbs</t>
  </si>
  <si>
    <t>Mollie Smith</t>
  </si>
  <si>
    <t>Jessica Robins</t>
  </si>
  <si>
    <t>Zoe Lavers</t>
  </si>
  <si>
    <t>Natalie Mak</t>
  </si>
  <si>
    <t>Finola Monahan</t>
  </si>
  <si>
    <t>Jessica Craze</t>
  </si>
  <si>
    <t>Julia Skrzypon</t>
  </si>
  <si>
    <t>Charlotte Stafford</t>
  </si>
  <si>
    <t>Emily Day</t>
  </si>
  <si>
    <t>Justina Semenaite</t>
  </si>
  <si>
    <t>Sara Storrow</t>
  </si>
  <si>
    <t>Niamh Sergent</t>
  </si>
  <si>
    <t>Saskia Campbell</t>
  </si>
  <si>
    <t>Chloe mathias</t>
  </si>
  <si>
    <t>Bethany Cook</t>
  </si>
  <si>
    <t>Sara Rock</t>
  </si>
  <si>
    <t>Jessica Kerswell</t>
  </si>
  <si>
    <t>Mina Borchard</t>
  </si>
  <si>
    <t>Abbie Newton</t>
  </si>
  <si>
    <t>Charli Morgan</t>
  </si>
  <si>
    <t>Ellen Herring</t>
  </si>
  <si>
    <t>Hannah Tucker</t>
  </si>
  <si>
    <t>Claudia Mendes</t>
  </si>
  <si>
    <t>Ellie Browne</t>
  </si>
  <si>
    <t>Sophie Warrener</t>
  </si>
  <si>
    <t>Elite</t>
  </si>
  <si>
    <t>Olivia Essex</t>
  </si>
  <si>
    <t>KCL Lions Cheerleading and Gymnastics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</si>
</sst>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2"/>
      <name val="Calibri"/>
      <family val="2"/>
      <scheme val="minor"/>
    </font>
    <font>
      <sz val="10"/>
      <name val="Helvetica Neue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rgb="FF92D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 applyProtection="1">
      <alignment horizontal="center" textRotation="90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  <protection locked="0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</xf>
    <xf numFmtId="0" fontId="0" fillId="0" borderId="0" xfId="0" applyAlignment="1" applyProtection="1">
      <alignment horizontal="center" textRotation="90"/>
    </xf>
    <xf numFmtId="2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2" fontId="0" fillId="2" borderId="0" xfId="0" applyNumberFormat="1" applyFill="1" applyAlignment="1" applyProtection="1">
      <alignment horizontal="center" textRotation="90"/>
    </xf>
    <xf numFmtId="0" fontId="0" fillId="2" borderId="0" xfId="0" applyFill="1" applyAlignment="1" applyProtection="1">
      <alignment horizontal="center" textRotation="90"/>
    </xf>
    <xf numFmtId="0" fontId="0" fillId="2" borderId="0" xfId="0" applyFill="1" applyAlignment="1" applyProtection="1">
      <alignment horizontal="center"/>
    </xf>
    <xf numFmtId="2" fontId="3" fillId="2" borderId="0" xfId="0" applyNumberFormat="1" applyFont="1" applyFill="1" applyAlignment="1" applyProtection="1">
      <alignment horizontal="center" textRotation="90"/>
    </xf>
    <xf numFmtId="2" fontId="3" fillId="2" borderId="0" xfId="0" applyNumberFormat="1" applyFont="1" applyFill="1" applyAlignment="1" applyProtection="1">
      <alignment horizontal="center"/>
    </xf>
    <xf numFmtId="2" fontId="3" fillId="0" borderId="0" xfId="0" applyNumberFormat="1" applyFon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2" fontId="0" fillId="0" borderId="0" xfId="0" applyNumberFormat="1" applyProtection="1"/>
    <xf numFmtId="2" fontId="1" fillId="2" borderId="0" xfId="0" applyNumberFormat="1" applyFont="1" applyFill="1" applyProtection="1"/>
    <xf numFmtId="2" fontId="0" fillId="2" borderId="0" xfId="0" applyNumberFormat="1" applyFill="1" applyProtection="1"/>
    <xf numFmtId="0" fontId="0" fillId="0" borderId="0" xfId="0" applyProtection="1"/>
    <xf numFmtId="0" fontId="4" fillId="0" borderId="0" xfId="0" applyFont="1" applyAlignment="1" applyProtection="1">
      <alignment horizontal="center" textRotation="90"/>
      <protection locked="0"/>
    </xf>
    <xf numFmtId="2" fontId="4" fillId="0" borderId="0" xfId="0" applyNumberFormat="1" applyFont="1" applyAlignment="1" applyProtection="1">
      <alignment horizontal="center" textRotation="90"/>
      <protection locked="0"/>
    </xf>
    <xf numFmtId="2" fontId="4" fillId="2" borderId="0" xfId="0" applyNumberFormat="1" applyFont="1" applyFill="1" applyAlignment="1" applyProtection="1">
      <alignment horizontal="center" textRotation="90"/>
    </xf>
    <xf numFmtId="0" fontId="4" fillId="2" borderId="0" xfId="0" applyFont="1" applyFill="1" applyAlignment="1" applyProtection="1">
      <alignment horizontal="center" textRotation="90"/>
    </xf>
    <xf numFmtId="0" fontId="4" fillId="0" borderId="0" xfId="0" applyFont="1" applyAlignment="1" applyProtection="1">
      <alignment horizontal="center" textRotation="90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4" fillId="2" borderId="0" xfId="0" applyNumberFormat="1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2" fontId="4" fillId="0" borderId="0" xfId="0" applyNumberFormat="1" applyFont="1" applyAlignment="1" applyProtection="1">
      <alignment horizontal="center"/>
    </xf>
    <xf numFmtId="0" fontId="5" fillId="0" borderId="0" xfId="0" applyFont="1" applyFill="1"/>
    <xf numFmtId="0" fontId="4" fillId="0" borderId="0" xfId="0" applyFont="1" applyFill="1" applyAlignment="1" applyProtection="1">
      <alignment horizontal="center"/>
      <protection locked="0"/>
    </xf>
    <xf numFmtId="2" fontId="4" fillId="0" borderId="0" xfId="0" applyNumberFormat="1" applyFont="1" applyFill="1" applyAlignment="1" applyProtection="1">
      <alignment horizontal="center"/>
      <protection locked="0"/>
    </xf>
    <xf numFmtId="2" fontId="4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2" fontId="3" fillId="0" borderId="0" xfId="0" applyNumberFormat="1" applyFont="1" applyFill="1" applyAlignment="1" applyProtection="1">
      <alignment horizontal="center"/>
    </xf>
    <xf numFmtId="0" fontId="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8" fillId="3" borderId="1" xfId="0" applyFont="1" applyFill="1" applyBorder="1"/>
    <xf numFmtId="0" fontId="0" fillId="4" borderId="0" xfId="0" applyFont="1" applyFill="1"/>
    <xf numFmtId="0" fontId="0" fillId="0" borderId="0" xfId="0" applyFont="1" applyFill="1"/>
    <xf numFmtId="0" fontId="7" fillId="0" borderId="0" xfId="0" applyFont="1"/>
    <xf numFmtId="0" fontId="6" fillId="5" borderId="0" xfId="0" applyFont="1" applyFill="1"/>
    <xf numFmtId="0" fontId="0" fillId="5" borderId="0" xfId="0" applyFill="1"/>
    <xf numFmtId="2" fontId="4" fillId="5" borderId="0" xfId="0" applyNumberFormat="1" applyFont="1" applyFill="1" applyAlignment="1" applyProtection="1">
      <alignment horizontal="center"/>
      <protection locked="0"/>
    </xf>
    <xf numFmtId="2" fontId="4" fillId="5" borderId="0" xfId="0" applyNumberFormat="1" applyFont="1" applyFill="1" applyAlignment="1" applyProtection="1">
      <alignment horizontal="center"/>
    </xf>
    <xf numFmtId="0" fontId="4" fillId="5" borderId="0" xfId="0" applyFont="1" applyFill="1" applyAlignment="1" applyProtection="1">
      <alignment horizontal="center"/>
    </xf>
    <xf numFmtId="2" fontId="11" fillId="5" borderId="0" xfId="0" applyNumberFormat="1" applyFont="1" applyFill="1" applyAlignment="1" applyProtection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</cellXfs>
  <cellStyles count="1">
    <cellStyle name="Normal" xfId="0" builtinId="0"/>
  </cellStyles>
  <dxfs count="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numFmt numFmtId="0" formatCode="General"/>
    </dxf>
    <dxf>
      <numFmt numFmtId="0" formatCode="General"/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996633"/>
        </patternFill>
      </fill>
    </dxf>
    <dxf>
      <font>
        <b/>
        <i val="0"/>
        <color auto="1"/>
      </font>
      <fill>
        <patternFill>
          <bgColor theme="7" tint="-0.24994659260841701"/>
        </patternFill>
      </fill>
    </dxf>
  </dxfs>
  <tableStyles count="0" defaultTableStyle="TableStyleMedium2" defaultPivotStyle="PivotStyleLight16"/>
  <colors>
    <mruColors>
      <color rgb="FF996633"/>
      <color rgb="FFB56700"/>
      <color rgb="FFD9DAD9"/>
      <color rgb="FF943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33.685232638891" createdVersion="6" refreshedVersion="7" minRefreshableVersion="3" recordCount="3" xr:uid="{EF35EE7C-0AEB-4FB3-BCF2-A2C5E764D900}">
  <cacheSource type="worksheet">
    <worksheetSource ref="A2:C5" sheet="Team Calculation - Elite"/>
  </cacheSource>
  <cacheFields count="3">
    <cacheField name="University / Institution" numFmtId="0">
      <sharedItems containsMixedTypes="1" containsNumber="1" containsInteger="1" minValue="0" maxValue="0" count="3">
        <s v="Portsmouth"/>
        <s v="Cardiff Met Gymnastics"/>
        <n v="0" u="1"/>
      </sharedItems>
    </cacheField>
    <cacheField name="Name" numFmtId="0">
      <sharedItems containsMixedTypes="1" containsNumber="1" containsInteger="1" minValue="0" maxValue="0" count="4">
        <s v="Finlay Morgan"/>
        <s v="Rushani Arumugham"/>
        <s v="Gianna Webbe"/>
        <n v="0" u="1"/>
      </sharedItems>
    </cacheField>
    <cacheField name="AA League Score" numFmtId="2">
      <sharedItems containsMixedTypes="1" containsNumber="1" minValue="92.207792207792195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33.686239120369" createdVersion="6" refreshedVersion="7" minRefreshableVersion="3" recordCount="22" xr:uid="{ADCBC859-874C-4029-A2D5-414D584E217F}">
  <cacheSource type="worksheet">
    <worksheetSource ref="A1:C23" sheet="Team Calculation - Novice"/>
  </cacheSource>
  <cacheFields count="3">
    <cacheField name="University / Institution" numFmtId="0">
      <sharedItems containsMixedTypes="1" containsNumber="1" containsInteger="1" minValue="0" maxValue="0" count="8">
        <s v="Portsmouth"/>
        <s v="Cardiff Met Gymnastics"/>
        <s v="FXU (falmouth and Exeter)"/>
        <s v="UEA Gymnastics Club"/>
        <s v="University of London Gymnastics Club"/>
        <s v="University of Southampton"/>
        <s v="University of Surrey Gymnastics"/>
        <n v="0" u="1"/>
      </sharedItems>
    </cacheField>
    <cacheField name="Name" numFmtId="0">
      <sharedItems containsMixedTypes="1" containsNumber="1" containsInteger="1" minValue="0" maxValue="0" count="23">
        <s v="Saskia Campbell"/>
        <s v="Chloe mathias"/>
        <s v="Bethany Cook"/>
        <s v="Sara Rock"/>
        <s v="Jessica Kerswell"/>
        <s v="Mina Borchard"/>
        <s v="Abbie Newton"/>
        <s v="Charli Morgan"/>
        <s v="Irisz Kalman"/>
        <s v="Ellen Herring"/>
        <s v="Amy Osborne"/>
        <s v="Hannah Tucker"/>
        <s v="Claudia Mendes"/>
        <s v="Xanthe Kingsman"/>
        <s v="Skye Sands"/>
        <s v="Ellie Browne"/>
        <s v="Sophie Warrener"/>
        <s v="Owen Lloyd"/>
        <s v="Jake Pettman"/>
        <s v="Alex Linley-Hill"/>
        <s v="Luc Orgueil"/>
        <s v="Jude Rolfe-Tarrant"/>
        <n v="0" u="1"/>
      </sharedItems>
    </cacheField>
    <cacheField name="AA League Score" numFmtId="0">
      <sharedItems containsMixedTypes="1" containsNumber="1" minValue="31.25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34.726306481483" createdVersion="7" refreshedVersion="7" minRefreshableVersion="3" recordCount="25" xr:uid="{798749A4-F644-4C15-9673-6823571310EF}">
  <cacheSource type="worksheet">
    <worksheetSource ref="A1:C26" sheet="Team Calculation - Advanced"/>
  </cacheSource>
  <cacheFields count="3">
    <cacheField name="University / Institution" numFmtId="0">
      <sharedItems count="10">
        <s v="UEA Gymnastics Club"/>
        <s v="Cardiff Met Gymnastics"/>
        <s v="University of Southampton"/>
        <s v="FXU (falmouth and Exeter)"/>
        <s v="Portsmouth"/>
        <s v="University of Surrey Gymnastics"/>
        <s v="KCL Lions Cheerleading and Gymnastics"/>
        <s v="University of Birmingham Gymnastics"/>
        <s v="University of London Gymnastics Club"/>
        <s v="Kings College London" u="1"/>
      </sharedItems>
    </cacheField>
    <cacheField name="Name" numFmtId="0">
      <sharedItems containsMixedTypes="1" containsNumber="1" containsInteger="1" minValue="0" maxValue="0" count="26">
        <s v="Lucy Griffiths"/>
        <s v="Megan Harper"/>
        <s v="Abbie Godsall"/>
        <s v="Karley Moreton"/>
        <s v="Lizzy Quigley"/>
        <s v="Lauren Colquhoun"/>
        <s v="Diamond Dill"/>
        <s v="Kayleigh Gazmuri-Symmes"/>
        <s v="Elizabeth Payne"/>
        <s v="Molly Robson"/>
        <s v="Abbie Moore"/>
        <s v="Leah White"/>
        <s v="Eve Linfoot"/>
        <s v="Olivia Han"/>
        <s v="Thea Jones"/>
        <s v="Esther Haigh"/>
        <s v="Jess Fyvie"/>
        <s v="Heather Nixey"/>
        <s v="Olivia Bell"/>
        <s v="Olivia Essex"/>
        <s v="Robbie White"/>
        <s v="Archie Belfield"/>
        <s v="Will Evans"/>
        <s v="Suryava Bhattacharya"/>
        <s v="Pavalan Mootoosamy"/>
        <n v="0" u="1"/>
      </sharedItems>
    </cacheField>
    <cacheField name="AA League Score" numFmtId="0">
      <sharedItems containsMixedTypes="1" containsNumber="1" minValue="48.054919908466815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34.726680208332" createdVersion="6" refreshedVersion="7" minRefreshableVersion="3" recordCount="31" xr:uid="{87954D0E-679A-46AE-BA3E-6B66C5072B1A}">
  <cacheSource type="worksheet">
    <worksheetSource ref="A1:C32" sheet="Team Calculation - Intermediate"/>
  </cacheSource>
  <cacheFields count="3">
    <cacheField name="University / Institution" numFmtId="0">
      <sharedItems containsMixedTypes="1" containsNumber="1" containsInteger="1" minValue="0" maxValue="0" count="9">
        <s v="Aberdeen University Gymnastics Club"/>
        <s v="University of Southampton"/>
        <s v="University of London Gymnastics Club"/>
        <s v="Portsmouth"/>
        <s v="Cardiff Met Gymnastics"/>
        <s v="FXU (falmouth and Exeter)"/>
        <s v="UEA Gymnastics Club"/>
        <s v="University of Surrey Gymnastics"/>
        <n v="0" u="1"/>
      </sharedItems>
    </cacheField>
    <cacheField name="Name" numFmtId="0">
      <sharedItems containsMixedTypes="1" containsNumber="1" containsInteger="1" minValue="0" maxValue="0" count="32">
        <s v="Megan Allan"/>
        <s v="Natalie Mak"/>
        <s v="Juliette Sens"/>
        <s v="Sara Storrow"/>
        <s v="Jessica Craze"/>
        <s v="Glesni Powell"/>
        <s v="Emily Day"/>
        <s v="Charlotte Stafford"/>
        <s v="Julia Skrzypon"/>
        <s v="Niamh Sergent"/>
        <s v="Mollie Smith"/>
        <s v="Jessica Robins"/>
        <s v="Justina Semenaite"/>
        <s v="Finola Monahan"/>
        <s v="Seren Richards"/>
        <s v="Abbie Stubbs"/>
        <s v="Maddie Boyce"/>
        <s v="Hannah Edwards"/>
        <s v="Zoe Lavers"/>
        <s v="Rob Scott"/>
        <s v="Brandon Sinclair"/>
        <s v="Rémi Théron"/>
        <s v="Daniel Poller"/>
        <s v="Ethan Betty"/>
        <s v="Jonny Gilbey"/>
        <s v="Chester Camm"/>
        <s v="Oliver Dale"/>
        <s v="Aymen Alshawi"/>
        <s v="Adam Staggs"/>
        <s v="James Hearn"/>
        <s v="Vinh Lam"/>
        <n v="0" u="1"/>
      </sharedItems>
    </cacheField>
    <cacheField name="AA League Score" numFmtId="0">
      <sharedItems containsMixedTypes="1" containsNumber="1" minValue="24.499229583975342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s v="nil"/>
  </r>
  <r>
    <x v="1"/>
    <x v="1"/>
    <n v="92.207792207792195"/>
  </r>
  <r>
    <x v="0"/>
    <x v="2"/>
    <n v="1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x v="0"/>
    <n v="77.644230769230759"/>
  </r>
  <r>
    <x v="0"/>
    <x v="1"/>
    <s v="nil"/>
  </r>
  <r>
    <x v="0"/>
    <x v="2"/>
    <n v="78.605769230769241"/>
  </r>
  <r>
    <x v="0"/>
    <x v="3"/>
    <n v="31.25"/>
  </r>
  <r>
    <x v="0"/>
    <x v="4"/>
    <n v="87.019230769230774"/>
  </r>
  <r>
    <x v="0"/>
    <x v="5"/>
    <n v="75.480769230769226"/>
  </r>
  <r>
    <x v="0"/>
    <x v="6"/>
    <n v="100"/>
  </r>
  <r>
    <x v="0"/>
    <x v="7"/>
    <s v="nil"/>
  </r>
  <r>
    <x v="0"/>
    <x v="8"/>
    <n v="90.625"/>
  </r>
  <r>
    <x v="0"/>
    <x v="9"/>
    <n v="82.211538461538467"/>
  </r>
  <r>
    <x v="1"/>
    <x v="10"/>
    <n v="86.77884615384616"/>
  </r>
  <r>
    <x v="2"/>
    <x v="11"/>
    <n v="70.67307692307692"/>
  </r>
  <r>
    <x v="3"/>
    <x v="12"/>
    <n v="80.288461538461533"/>
  </r>
  <r>
    <x v="3"/>
    <x v="13"/>
    <n v="55.28846153846154"/>
  </r>
  <r>
    <x v="4"/>
    <x v="14"/>
    <n v="86.057692307692307"/>
  </r>
  <r>
    <x v="5"/>
    <x v="15"/>
    <n v="69.951923076923066"/>
  </r>
  <r>
    <x v="6"/>
    <x v="16"/>
    <n v="85.09615384615384"/>
  </r>
  <r>
    <x v="2"/>
    <x v="17"/>
    <n v="100"/>
  </r>
  <r>
    <x v="0"/>
    <x v="18"/>
    <n v="97.905759162303653"/>
  </r>
  <r>
    <x v="3"/>
    <x v="19"/>
    <n v="91.099476439790564"/>
  </r>
  <r>
    <x v="5"/>
    <x v="20"/>
    <s v="nil"/>
  </r>
  <r>
    <x v="5"/>
    <x v="21"/>
    <s v="nil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">
  <r>
    <x v="0"/>
    <x v="0"/>
    <n v="100"/>
  </r>
  <r>
    <x v="1"/>
    <x v="1"/>
    <n v="99.452054794520535"/>
  </r>
  <r>
    <x v="1"/>
    <x v="2"/>
    <n v="98.904109589041099"/>
  </r>
  <r>
    <x v="2"/>
    <x v="3"/>
    <n v="98.082191780821915"/>
  </r>
  <r>
    <x v="3"/>
    <x v="4"/>
    <n v="92.602739726027394"/>
  </r>
  <r>
    <x v="0"/>
    <x v="5"/>
    <n v="91.506849315068493"/>
  </r>
  <r>
    <x v="1"/>
    <x v="6"/>
    <n v="91.232876712328761"/>
  </r>
  <r>
    <x v="1"/>
    <x v="7"/>
    <n v="90.958904109589042"/>
  </r>
  <r>
    <x v="0"/>
    <x v="8"/>
    <n v="89.315068493150676"/>
  </r>
  <r>
    <x v="4"/>
    <x v="9"/>
    <n v="89.041095890410958"/>
  </r>
  <r>
    <x v="1"/>
    <x v="10"/>
    <n v="88.219178082191789"/>
  </r>
  <r>
    <x v="2"/>
    <x v="11"/>
    <n v="86.301369863013704"/>
  </r>
  <r>
    <x v="0"/>
    <x v="12"/>
    <n v="85.753424657534239"/>
  </r>
  <r>
    <x v="4"/>
    <x v="13"/>
    <n v="84.38356164383562"/>
  </r>
  <r>
    <x v="1"/>
    <x v="14"/>
    <n v="82.191780821917803"/>
  </r>
  <r>
    <x v="1"/>
    <x v="15"/>
    <n v="80"/>
  </r>
  <r>
    <x v="5"/>
    <x v="16"/>
    <n v="71.780821917808211"/>
  </r>
  <r>
    <x v="0"/>
    <x v="17"/>
    <n v="51.780821917808218"/>
  </r>
  <r>
    <x v="0"/>
    <x v="18"/>
    <s v="nil"/>
  </r>
  <r>
    <x v="6"/>
    <x v="19"/>
    <s v="nil"/>
  </r>
  <r>
    <x v="4"/>
    <x v="20"/>
    <n v="100"/>
  </r>
  <r>
    <x v="7"/>
    <x v="21"/>
    <n v="99.313501144164732"/>
  </r>
  <r>
    <x v="2"/>
    <x v="22"/>
    <n v="97.254004576659042"/>
  </r>
  <r>
    <x v="8"/>
    <x v="23"/>
    <n v="81.235697940503428"/>
  </r>
  <r>
    <x v="5"/>
    <x v="24"/>
    <n v="48.05491990846681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">
  <r>
    <x v="0"/>
    <x v="0"/>
    <n v="100"/>
  </r>
  <r>
    <x v="1"/>
    <x v="1"/>
    <n v="100"/>
  </r>
  <r>
    <x v="2"/>
    <x v="2"/>
    <n v="99.38271604938268"/>
  </r>
  <r>
    <x v="3"/>
    <x v="3"/>
    <n v="98.919753086419746"/>
  </r>
  <r>
    <x v="3"/>
    <x v="4"/>
    <n v="98.302469135802468"/>
  </r>
  <r>
    <x v="4"/>
    <x v="5"/>
    <n v="97.222222222222214"/>
  </r>
  <r>
    <x v="5"/>
    <x v="6"/>
    <n v="94.135802469135783"/>
  </r>
  <r>
    <x v="5"/>
    <x v="7"/>
    <n v="92.438271604938251"/>
  </r>
  <r>
    <x v="3"/>
    <x v="8"/>
    <n v="92.129629629629619"/>
  </r>
  <r>
    <x v="1"/>
    <x v="9"/>
    <n v="90.740740740740733"/>
  </r>
  <r>
    <x v="6"/>
    <x v="10"/>
    <n v="89.351851851851848"/>
  </r>
  <r>
    <x v="1"/>
    <x v="11"/>
    <n v="86.728395061728378"/>
  </r>
  <r>
    <x v="3"/>
    <x v="12"/>
    <n v="86.26543209876543"/>
  </r>
  <r>
    <x v="1"/>
    <x v="13"/>
    <n v="70.679012345678998"/>
  </r>
  <r>
    <x v="4"/>
    <x v="14"/>
    <n v="69.444444444444429"/>
  </r>
  <r>
    <x v="6"/>
    <x v="15"/>
    <n v="66.666666666666657"/>
  </r>
  <r>
    <x v="4"/>
    <x v="16"/>
    <n v="54.012345679012341"/>
  </r>
  <r>
    <x v="7"/>
    <x v="17"/>
    <n v="37.499999999999993"/>
  </r>
  <r>
    <x v="1"/>
    <x v="18"/>
    <n v="31.172839506172835"/>
  </r>
  <r>
    <x v="4"/>
    <x v="19"/>
    <n v="100"/>
  </r>
  <r>
    <x v="3"/>
    <x v="20"/>
    <n v="94.761171032357467"/>
  </r>
  <r>
    <x v="0"/>
    <x v="21"/>
    <n v="91.987673343605536"/>
  </r>
  <r>
    <x v="1"/>
    <x v="22"/>
    <n v="88.289676425269647"/>
  </r>
  <r>
    <x v="1"/>
    <x v="23"/>
    <n v="81.972265023112485"/>
  </r>
  <r>
    <x v="3"/>
    <x v="24"/>
    <n v="79.352850539291211"/>
  </r>
  <r>
    <x v="1"/>
    <x v="25"/>
    <n v="78.736517719568567"/>
  </r>
  <r>
    <x v="3"/>
    <x v="26"/>
    <n v="75.654853620955294"/>
  </r>
  <r>
    <x v="7"/>
    <x v="27"/>
    <n v="59.938366718027737"/>
  </r>
  <r>
    <x v="6"/>
    <x v="28"/>
    <n v="52.850539291217245"/>
  </r>
  <r>
    <x v="1"/>
    <x v="29"/>
    <n v="24.499229583975342"/>
  </r>
  <r>
    <x v="7"/>
    <x v="30"/>
    <s v="n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FF29F-9817-4366-8191-35582D8D956D}" name="Elite Team Pivot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6" indent="0" outline="1" outlineData="1" multipleFieldFilters="0">
  <location ref="A10:D14" firstHeaderRow="1" firstDataRow="2" firstDataCol="1"/>
  <pivotFields count="3">
    <pivotField axis="axisRow" showAll="0">
      <items count="4">
        <item x="1"/>
        <item x="0"/>
        <item m="1" x="2"/>
        <item t="default"/>
      </items>
    </pivotField>
    <pivotField axis="axisCol" showAll="0">
      <items count="5">
        <item x="0"/>
        <item x="2"/>
        <item x="1"/>
        <item m="1" x="3"/>
        <item t="default"/>
      </items>
    </pivotField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>
      <x v="2"/>
    </i>
  </colItems>
  <dataFields count="1">
    <dataField name="Sum of AA League Scor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74550F-97A7-403D-8212-A340921E776B}" name="PivotTable4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A41:Z51" firstHeaderRow="1" firstDataRow="2" firstDataCol="1"/>
  <pivotFields count="3">
    <pivotField axis="axisRow" showAll="0">
      <items count="11">
        <item x="1"/>
        <item x="4"/>
        <item x="0"/>
        <item x="7"/>
        <item x="3"/>
        <item x="5"/>
        <item x="2"/>
        <item x="8"/>
        <item m="1" x="9"/>
        <item x="6"/>
        <item t="default"/>
      </items>
    </pivotField>
    <pivotField axis="axisCol" showAll="0">
      <items count="27">
        <item x="2"/>
        <item x="10"/>
        <item x="21"/>
        <item x="8"/>
        <item x="12"/>
        <item x="17"/>
        <item x="7"/>
        <item x="0"/>
        <item x="9"/>
        <item x="13"/>
        <item x="20"/>
        <item x="14"/>
        <item x="4"/>
        <item x="18"/>
        <item x="5"/>
        <item x="16"/>
        <item x="6"/>
        <item x="1"/>
        <item x="15"/>
        <item x="11"/>
        <item x="3"/>
        <item x="22"/>
        <item x="23"/>
        <item x="24"/>
        <item m="1" x="25"/>
        <item x="19"/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</colItems>
  <dataFields count="1">
    <dataField name="Sum of AA League Score" fld="2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13680F-B396-46EE-B564-2502E43E73A2}" name="PivotTable5" cacheId="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A34:AF43" firstHeaderRow="1" firstDataRow="2" firstDataCol="1"/>
  <pivotFields count="3">
    <pivotField axis="axisRow" showAll="0">
      <items count="10">
        <item x="0"/>
        <item x="4"/>
        <item x="3"/>
        <item x="6"/>
        <item x="2"/>
        <item m="1" x="8"/>
        <item x="7"/>
        <item x="1"/>
        <item x="5"/>
        <item t="default"/>
      </items>
    </pivotField>
    <pivotField axis="axisCol" showAll="0">
      <items count="33">
        <item x="28"/>
        <item x="20"/>
        <item x="5"/>
        <item x="2"/>
        <item x="16"/>
        <item x="21"/>
        <item x="19"/>
        <item x="14"/>
        <item m="1" x="31"/>
        <item x="0"/>
        <item x="17"/>
        <item x="15"/>
        <item x="10"/>
        <item x="11"/>
        <item x="18"/>
        <item x="1"/>
        <item x="13"/>
        <item x="4"/>
        <item x="8"/>
        <item x="7"/>
        <item x="6"/>
        <item x="12"/>
        <item x="3"/>
        <item x="9"/>
        <item x="22"/>
        <item x="23"/>
        <item x="25"/>
        <item x="29"/>
        <item x="26"/>
        <item x="24"/>
        <item x="30"/>
        <item x="27"/>
        <item t="default"/>
      </items>
    </pivotField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6"/>
    </i>
    <i>
      <x v="7"/>
    </i>
    <i>
      <x v="8"/>
    </i>
  </rowItems>
  <colFields count="1">
    <field x="1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1">
    <dataField name="Sum of AA League Scor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C0B59-7BE9-4F72-AAD5-829961A7C810}" name="PivotTable6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A26:W34" firstHeaderRow="1" firstDataRow="2" firstDataCol="1"/>
  <pivotFields count="3">
    <pivotField axis="axisRow" showAll="0">
      <items count="9">
        <item m="1" x="7"/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24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showAll="0"/>
  </pivotFields>
  <rowFields count="1">
    <field x="0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1"/>
  </colFields>
  <col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</colItems>
  <dataFields count="1">
    <dataField name="Sum of AA League Scor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E5CB988-6307-4AE0-A2B1-147549A4B48A}" name="Table1" displayName="Table1" ref="A22:G24" totalsRowShown="0">
  <autoFilter ref="A22:G24" xr:uid="{B4D5D523-747D-469C-833C-D867E27303C7}"/>
  <tableColumns count="7">
    <tableColumn id="1" xr3:uid="{CF49D00B-8352-4614-A482-7F4FFD794070}" name="University">
      <calculatedColumnFormula>A12</calculatedColumnFormula>
    </tableColumn>
    <tableColumn id="2" xr3:uid="{B573FE77-C0D5-44CC-9AD5-5F788FDB296A}" name="Score 1">
      <calculatedColumnFormula>IFERROR(IF(LARGE(12:12, 1), LARGE(12:12,1),"n/a"), "")</calculatedColumnFormula>
    </tableColumn>
    <tableColumn id="3" xr3:uid="{BFE4841D-2744-4897-B747-B82D0F44A4FA}" name="Score 2">
      <calculatedColumnFormula>IFERROR(IF(LARGE(12:12, 2), LARGE(12:12,2),"n/a"), "")</calculatedColumnFormula>
    </tableColumn>
    <tableColumn id="4" xr3:uid="{0290EDDF-45D1-4171-AE49-3B027F52AEC5}" name="Score 3">
      <calculatedColumnFormula>IFERROR(IF(LARGE(12:12, 3), LARGE(12:12,3),"n/a"), "")</calculatedColumnFormula>
    </tableColumn>
    <tableColumn id="5" xr3:uid="{B020B9B7-9CC1-4793-A585-882862353F60}" name="Score 4">
      <calculatedColumnFormula>IFERROR(IF(LARGE(12:12, 4), LARGE(12:12,4),"n/a"), "")</calculatedColumnFormula>
    </tableColumn>
    <tableColumn id="6" xr3:uid="{B3FCC766-3662-45DF-8E0C-B8FF855EE2F3}" name="Total:">
      <calculatedColumnFormula>SUM(B23:E23)</calculatedColumnFormula>
    </tableColumn>
    <tableColumn id="7" xr3:uid="{D6136CF6-1116-4EB5-B97A-ED9FA8518B5A}" name="Position">
      <calculatedColumnFormula>RANK(F23, F$23:F$24,0)</calculatedColumnFormula>
    </tableColumn>
  </tableColumns>
  <tableStyleInfo name="TableStyleMedium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A071D39-2589-43E5-8DAB-6820E9A64540}" name="Table3" displayName="Table3" ref="A26:G28" totalsRowShown="0">
  <autoFilter ref="A26:G28" xr:uid="{4F9BE69A-F14F-44F6-99AE-88004AAC57F1}"/>
  <tableColumns count="7">
    <tableColumn id="1" xr3:uid="{0E222062-3148-4DEF-BE72-B3CD1FE1C072}" name="University" dataDxfId="2">
      <calculatedColumnFormula>A23</calculatedColumnFormula>
    </tableColumn>
    <tableColumn id="2" xr3:uid="{C670E5E2-EA6C-481C-9A6C-5FFB7BF5DC11}" name="Gymnast 1">
      <calculatedColumnFormula array="1">IFERROR(_xlfn.XLOOKUP(1, ($C$3:$C$5 = B23) * ($A$3:$A$5 = $A23), $B$3:$B$5), "")</calculatedColumnFormula>
    </tableColumn>
    <tableColumn id="3" xr3:uid="{66605AE3-B80F-4A95-BF3F-36C31C581C0B}" name="Gymnast 2">
      <calculatedColumnFormula array="1">IFERROR(_xlfn.XLOOKUP(1, ($C$3:$C$5 = C23) * ($A$3:$A$5 = $A23), $B$3:$B$5), "")</calculatedColumnFormula>
    </tableColumn>
    <tableColumn id="4" xr3:uid="{2C36238B-5D86-49E7-9A65-5DAB2DF707A5}" name="Gymnast 3">
      <calculatedColumnFormula array="1">IFERROR(_xlfn.XLOOKUP(1, ($C$3:$C$5 = D23) * ($A$3:$A$5 = $A23), $B$3:$B$5), "")</calculatedColumnFormula>
    </tableColumn>
    <tableColumn id="5" xr3:uid="{1C6E5BFA-9C7C-42E9-97CA-E8CD5DBBDC36}" name="Gymnast 4">
      <calculatedColumnFormula array="1">IFERROR(_xlfn.XLOOKUP(1, ($C$3:$C$5 = E23) * ($A$3:$A$5 = $A23), $B$3:$B$5), "")</calculatedColumnFormula>
    </tableColumn>
    <tableColumn id="6" xr3:uid="{807FCD45-8BBF-42A9-AA4D-474AC9718878}" name="Total:" dataDxfId="1">
      <calculatedColumnFormula>SUM(B23:E23)</calculatedColumnFormula>
    </tableColumn>
    <tableColumn id="7" xr3:uid="{A0BE5AD2-266B-4AAC-976D-D1F10558EF20}" name="Position" dataDxfId="0">
      <calculatedColumnFormula>RANK(F23, F$23:F$24,0)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B557D-154E-410D-B600-1BEE064F37DC}">
  <dimension ref="A1:G39"/>
  <sheetViews>
    <sheetView tabSelected="1" zoomScale="70" zoomScaleNormal="70" workbookViewId="0">
      <selection activeCell="J18" sqref="J18"/>
    </sheetView>
  </sheetViews>
  <sheetFormatPr defaultColWidth="8.83203125" defaultRowHeight="15.5"/>
  <cols>
    <col min="1" max="1" width="34.33203125" bestFit="1" customWidth="1"/>
    <col min="2" max="2" width="19.5" bestFit="1" customWidth="1"/>
    <col min="3" max="3" width="23.08203125" bestFit="1" customWidth="1"/>
    <col min="4" max="4" width="20" bestFit="1" customWidth="1"/>
    <col min="5" max="5" width="19.08203125" bestFit="1" customWidth="1"/>
    <col min="6" max="6" width="12.33203125" bestFit="1" customWidth="1"/>
    <col min="7" max="7" width="8" bestFit="1" customWidth="1"/>
    <col min="10" max="10" width="34.08203125" bestFit="1" customWidth="1"/>
    <col min="11" max="11" width="15.5" bestFit="1" customWidth="1"/>
    <col min="12" max="12" width="22.5" bestFit="1" customWidth="1"/>
    <col min="13" max="13" width="19.08203125" bestFit="1" customWidth="1"/>
    <col min="14" max="14" width="14.5" bestFit="1" customWidth="1"/>
    <col min="15" max="15" width="11.83203125" bestFit="1" customWidth="1"/>
    <col min="16" max="16" width="7.33203125" bestFit="1" customWidth="1"/>
  </cols>
  <sheetData>
    <row r="1" spans="1:7" ht="28.5">
      <c r="A1" s="55" t="s">
        <v>179</v>
      </c>
      <c r="B1" s="55"/>
      <c r="C1" s="55"/>
      <c r="D1" s="55"/>
      <c r="E1" s="55"/>
      <c r="F1" s="55"/>
      <c r="G1" s="55"/>
    </row>
    <row r="2" spans="1:7">
      <c r="A2" s="48" t="str" cm="1">
        <f t="array" ref="A2:G4">Table3[#All]</f>
        <v>University</v>
      </c>
      <c r="B2" s="48" t="str">
        <v>Gymnast 1</v>
      </c>
      <c r="C2" s="48" t="str">
        <v>Gymnast 2</v>
      </c>
      <c r="D2" s="48" t="str">
        <v>Gymnast 3</v>
      </c>
      <c r="E2" s="48" t="str">
        <v>Gymnast 4</v>
      </c>
      <c r="F2" s="48" t="str">
        <v>Total:</v>
      </c>
      <c r="G2" s="48" t="str">
        <v>Position</v>
      </c>
    </row>
    <row r="3" spans="1:7">
      <c r="A3" t="str">
        <v>Cardiff Met Gymnastics</v>
      </c>
      <c r="B3" t="str">
        <v>Rushani Arumugham</v>
      </c>
      <c r="C3" t="str">
        <v/>
      </c>
      <c r="D3" t="str">
        <v/>
      </c>
      <c r="E3" t="str">
        <v/>
      </c>
      <c r="F3">
        <v>92.207792207792195</v>
      </c>
      <c r="G3">
        <v>2</v>
      </c>
    </row>
    <row r="4" spans="1:7">
      <c r="A4" t="str">
        <v>Portsmouth</v>
      </c>
      <c r="B4" t="str">
        <v>Gianna Webbe</v>
      </c>
      <c r="C4" t="str">
        <v/>
      </c>
      <c r="D4" t="str">
        <v/>
      </c>
      <c r="E4" t="str">
        <v/>
      </c>
      <c r="F4">
        <v>100</v>
      </c>
      <c r="G4">
        <v>1</v>
      </c>
    </row>
    <row r="7" spans="1:7" ht="28.5">
      <c r="A7" s="55" t="s">
        <v>119</v>
      </c>
      <c r="B7" s="55"/>
      <c r="C7" s="55"/>
      <c r="D7" s="55"/>
      <c r="E7" s="55"/>
      <c r="F7" s="55"/>
      <c r="G7" s="55"/>
    </row>
    <row r="8" spans="1:7">
      <c r="A8" s="48" t="str" cm="1">
        <f t="array" ref="A8:G17">'Team Calculation - Advanced'!A71:G80</f>
        <v>University</v>
      </c>
      <c r="B8" s="48" t="str">
        <v>Gymnast 1</v>
      </c>
      <c r="C8" s="48" t="str">
        <v>Gymnast 2</v>
      </c>
      <c r="D8" s="48" t="str">
        <v>Gymnast 3</v>
      </c>
      <c r="E8" s="48" t="str">
        <v>Gymnast 4</v>
      </c>
      <c r="F8" s="48" t="str">
        <v>Total:</v>
      </c>
      <c r="G8" s="48" t="str">
        <v>Position</v>
      </c>
    </row>
    <row r="9" spans="1:7">
      <c r="A9" t="str">
        <v>Cardiff Met Gymnastics</v>
      </c>
      <c r="B9" t="str">
        <v>Megan Harper</v>
      </c>
      <c r="C9" t="str">
        <v>Abbie Godsall</v>
      </c>
      <c r="D9" t="str">
        <v>Diamond Dill</v>
      </c>
      <c r="E9" t="str">
        <v>Kayleigh Gazmuri-Symmes</v>
      </c>
      <c r="F9">
        <v>380.54794520547944</v>
      </c>
      <c r="G9">
        <v>1</v>
      </c>
    </row>
    <row r="10" spans="1:7">
      <c r="A10" t="str">
        <v>Portsmouth</v>
      </c>
      <c r="B10" t="str">
        <v>Robbie White</v>
      </c>
      <c r="C10" t="str">
        <v>Molly Robson</v>
      </c>
      <c r="D10" t="str">
        <v>Olivia Han</v>
      </c>
      <c r="E10" t="str">
        <v/>
      </c>
      <c r="F10">
        <v>273.42465753424659</v>
      </c>
      <c r="G10">
        <v>4</v>
      </c>
    </row>
    <row r="11" spans="1:7">
      <c r="A11" t="str">
        <v>UEA Gymnastics Club</v>
      </c>
      <c r="B11" t="str">
        <v>Lucy Griffiths</v>
      </c>
      <c r="C11" t="str">
        <v>Lauren Colquhoun</v>
      </c>
      <c r="D11" t="str">
        <v>Elizabeth Payne</v>
      </c>
      <c r="E11" t="str">
        <v>Eve Linfoot</v>
      </c>
      <c r="F11">
        <v>366.57534246575341</v>
      </c>
      <c r="G11">
        <v>2</v>
      </c>
    </row>
    <row r="12" spans="1:7">
      <c r="A12" t="str">
        <v>University of Birmingham Gymnastics</v>
      </c>
      <c r="B12" t="str">
        <v>Archie Belfield</v>
      </c>
      <c r="C12" t="str">
        <v/>
      </c>
      <c r="D12" t="str">
        <v/>
      </c>
      <c r="E12" t="str">
        <v/>
      </c>
      <c r="F12">
        <v>99.313501144164732</v>
      </c>
      <c r="G12">
        <v>6</v>
      </c>
    </row>
    <row r="13" spans="1:7">
      <c r="A13" t="str">
        <v>FXU (falmouth and Exeter)</v>
      </c>
      <c r="B13" t="str">
        <v>Lizzy Quigley</v>
      </c>
      <c r="C13" t="str">
        <v/>
      </c>
      <c r="D13" t="str">
        <v/>
      </c>
      <c r="E13" t="str">
        <v/>
      </c>
      <c r="F13">
        <v>92.602739726027394</v>
      </c>
      <c r="G13">
        <v>7</v>
      </c>
    </row>
    <row r="14" spans="1:7">
      <c r="A14" t="str">
        <v>University of Surrey Gymnastics</v>
      </c>
      <c r="B14" t="str">
        <v>Jess Fyvie</v>
      </c>
      <c r="C14" t="str">
        <v>Pavalan Mootoosamy</v>
      </c>
      <c r="D14" t="str">
        <v/>
      </c>
      <c r="E14" t="str">
        <v/>
      </c>
      <c r="F14">
        <v>119.83574182627503</v>
      </c>
      <c r="G14">
        <v>5</v>
      </c>
    </row>
    <row r="15" spans="1:7">
      <c r="A15" t="str">
        <v>University of Southampton</v>
      </c>
      <c r="B15" t="str">
        <v>Karley Moreton</v>
      </c>
      <c r="C15" t="str">
        <v>Will Evans</v>
      </c>
      <c r="D15" t="str">
        <v>Leah White</v>
      </c>
      <c r="E15" t="str">
        <v/>
      </c>
      <c r="F15">
        <v>281.63756622049465</v>
      </c>
      <c r="G15">
        <v>3</v>
      </c>
    </row>
    <row r="16" spans="1:7">
      <c r="A16" t="str">
        <v>University of London Gymnastics Club</v>
      </c>
      <c r="B16" t="str">
        <v>Suryava Bhattacharya</v>
      </c>
      <c r="C16" t="str">
        <v/>
      </c>
      <c r="D16" t="str">
        <v/>
      </c>
      <c r="E16" t="str">
        <v/>
      </c>
      <c r="F16">
        <v>81.235697940503428</v>
      </c>
      <c r="G16">
        <v>8</v>
      </c>
    </row>
    <row r="17" spans="1:7">
      <c r="A17" t="str">
        <v>KCL Lions Cheerleading and Gymnastics</v>
      </c>
      <c r="B17" t="str">
        <v/>
      </c>
      <c r="C17" t="str">
        <v/>
      </c>
      <c r="D17" t="str">
        <v/>
      </c>
      <c r="E17" t="str">
        <v/>
      </c>
      <c r="F17">
        <v>0</v>
      </c>
      <c r="G17">
        <v>9</v>
      </c>
    </row>
    <row r="19" spans="1:7" ht="28.5">
      <c r="A19" s="55" t="s">
        <v>122</v>
      </c>
      <c r="B19" s="55"/>
      <c r="C19" s="55"/>
      <c r="D19" s="55"/>
      <c r="E19" s="55"/>
      <c r="F19" s="55"/>
      <c r="G19" s="55"/>
    </row>
    <row r="20" spans="1:7">
      <c r="A20" t="str" cm="1">
        <f t="array" ref="A20:G28">'Team Calculation - Intermediate'!A65:G73</f>
        <v>University</v>
      </c>
      <c r="B20" t="str">
        <v>Gymnast 1</v>
      </c>
      <c r="C20" t="str">
        <v>Gymnast 2</v>
      </c>
      <c r="D20" t="str">
        <v>Gymnast 3</v>
      </c>
      <c r="E20" t="str">
        <v>Gymnast 4</v>
      </c>
      <c r="F20" t="str">
        <v>Total:</v>
      </c>
      <c r="G20" t="str">
        <v>Position</v>
      </c>
    </row>
    <row r="21" spans="1:7">
      <c r="A21" t="str">
        <v>Aberdeen University Gymnastics Club</v>
      </c>
      <c r="B21" t="str">
        <v>Megan Allan</v>
      </c>
      <c r="C21" t="str">
        <v>Rémi Théron</v>
      </c>
      <c r="D21" t="str">
        <v/>
      </c>
      <c r="E21" t="str">
        <v/>
      </c>
      <c r="F21">
        <v>191.98767334360554</v>
      </c>
      <c r="G21">
        <v>5</v>
      </c>
    </row>
    <row r="22" spans="1:7">
      <c r="A22" t="str">
        <v>Cardiff Met Gymnastics</v>
      </c>
      <c r="B22" t="str">
        <v>Rob Scott</v>
      </c>
      <c r="C22" t="str">
        <v>Glesni Powell</v>
      </c>
      <c r="D22" t="str">
        <v>Seren Richards</v>
      </c>
      <c r="E22" t="str">
        <v>Maddie Boyce</v>
      </c>
      <c r="F22">
        <v>320.67901234567898</v>
      </c>
      <c r="G22">
        <v>3</v>
      </c>
    </row>
    <row r="23" spans="1:7">
      <c r="A23" t="str">
        <v>Portsmouth</v>
      </c>
      <c r="B23" t="str">
        <v>Sara Storrow</v>
      </c>
      <c r="C23" t="str">
        <v>Jessica Craze</v>
      </c>
      <c r="D23" t="str">
        <v>Brandon Sinclair</v>
      </c>
      <c r="E23" t="str">
        <v>Julia Skrzypon</v>
      </c>
      <c r="F23">
        <v>384.11302288420933</v>
      </c>
      <c r="G23">
        <v>1</v>
      </c>
    </row>
    <row r="24" spans="1:7">
      <c r="A24" t="str">
        <v>UEA Gymnastics Club</v>
      </c>
      <c r="B24" t="str">
        <v>Mollie Smith</v>
      </c>
      <c r="C24" t="str">
        <v>Abbie Stubbs</v>
      </c>
      <c r="D24" t="str">
        <v>Adam Staggs</v>
      </c>
      <c r="E24" t="str">
        <v/>
      </c>
      <c r="F24">
        <v>208.86905780973575</v>
      </c>
      <c r="G24">
        <v>4</v>
      </c>
    </row>
    <row r="25" spans="1:7">
      <c r="A25" t="str">
        <v>University of London Gymnastics Club</v>
      </c>
      <c r="B25" t="str">
        <v>Juliette Sens</v>
      </c>
      <c r="C25" t="str">
        <v/>
      </c>
      <c r="D25" t="str">
        <v/>
      </c>
      <c r="E25" t="str">
        <v/>
      </c>
      <c r="F25">
        <v>99.38271604938268</v>
      </c>
      <c r="G25">
        <v>7</v>
      </c>
    </row>
    <row r="26" spans="1:7">
      <c r="A26" t="str">
        <v>University of Surrey Gymnastics</v>
      </c>
      <c r="B26" t="str">
        <v>Aymen Alshawi</v>
      </c>
      <c r="C26" t="str">
        <v>Hannah Edwards</v>
      </c>
      <c r="D26" t="str">
        <v/>
      </c>
      <c r="E26" t="str">
        <v/>
      </c>
      <c r="F26">
        <v>97.438366718027737</v>
      </c>
      <c r="G26">
        <v>8</v>
      </c>
    </row>
    <row r="27" spans="1:7">
      <c r="A27" t="str">
        <v>University of Southampton</v>
      </c>
      <c r="B27" t="str">
        <v>Natalie Mak</v>
      </c>
      <c r="C27" t="str">
        <v>Niamh Sergent</v>
      </c>
      <c r="D27" t="str">
        <v>Daniel Poller</v>
      </c>
      <c r="E27" t="str">
        <v>Jessica Robins</v>
      </c>
      <c r="F27">
        <v>365.75881222773876</v>
      </c>
      <c r="G27">
        <v>2</v>
      </c>
    </row>
    <row r="28" spans="1:7">
      <c r="A28" t="str">
        <v>FXU (falmouth and Exeter)</v>
      </c>
      <c r="B28" t="str">
        <v>Emily Day</v>
      </c>
      <c r="C28" t="str">
        <v>Charlotte Stafford</v>
      </c>
      <c r="D28" t="str">
        <v/>
      </c>
      <c r="E28" t="str">
        <v/>
      </c>
      <c r="F28">
        <v>186.57407407407402</v>
      </c>
      <c r="G28">
        <v>6</v>
      </c>
    </row>
    <row r="31" spans="1:7" ht="31">
      <c r="A31" s="56" t="s">
        <v>123</v>
      </c>
      <c r="B31" s="56"/>
      <c r="C31" s="56"/>
      <c r="D31" s="56"/>
      <c r="E31" s="56"/>
      <c r="F31" s="56"/>
      <c r="G31" s="56"/>
    </row>
    <row r="32" spans="1:7">
      <c r="A32" t="str" cm="1">
        <f t="array" ref="A32:G39">'Team Calculation - Novice'!A55:G62</f>
        <v>University</v>
      </c>
      <c r="B32" t="str">
        <v>Gymnast 1</v>
      </c>
      <c r="C32" t="str">
        <v>Gymnast 2</v>
      </c>
      <c r="D32" t="str">
        <v>Gymnast 3</v>
      </c>
      <c r="E32" t="str">
        <v>Gymnast 4</v>
      </c>
      <c r="F32" t="str">
        <v>Total</v>
      </c>
      <c r="G32" t="str">
        <v>Rank</v>
      </c>
    </row>
    <row r="33" spans="1:7">
      <c r="A33" t="str">
        <v>Portsmouth</v>
      </c>
      <c r="B33" t="str">
        <v>Abbie Newton</v>
      </c>
      <c r="C33" t="str">
        <v>Jake Pettman</v>
      </c>
      <c r="D33" t="str">
        <v>Irisz Kalman</v>
      </c>
      <c r="E33" t="str">
        <v>Jessica Kerswell</v>
      </c>
      <c r="F33">
        <v>375.54998993153441</v>
      </c>
      <c r="G33">
        <v>1</v>
      </c>
    </row>
    <row r="34" spans="1:7">
      <c r="A34" t="str">
        <v>Cardiff Met Gymnastics</v>
      </c>
      <c r="B34" t="str">
        <v>Amy Osborne</v>
      </c>
      <c r="C34" t="str">
        <v/>
      </c>
      <c r="D34" t="str">
        <v/>
      </c>
      <c r="E34" t="str">
        <v/>
      </c>
      <c r="F34">
        <v>86.77884615384616</v>
      </c>
      <c r="G34">
        <v>4</v>
      </c>
    </row>
    <row r="35" spans="1:7">
      <c r="A35" t="str">
        <v>FXU (falmouth and Exeter)</v>
      </c>
      <c r="B35" t="str">
        <v>Owen Lloyd</v>
      </c>
      <c r="C35" t="str">
        <v>Hannah Tucker</v>
      </c>
      <c r="D35" t="str">
        <v/>
      </c>
      <c r="E35" t="str">
        <v/>
      </c>
      <c r="F35">
        <v>170.67307692307691</v>
      </c>
      <c r="G35">
        <v>3</v>
      </c>
    </row>
    <row r="36" spans="1:7">
      <c r="A36" t="str">
        <v>UEA Gymnastics Club</v>
      </c>
      <c r="B36" t="str">
        <v>Alex Linley-Hill</v>
      </c>
      <c r="C36" t="str">
        <v>Claudia Mendes</v>
      </c>
      <c r="D36" t="str">
        <v>Xanthe Kingsman</v>
      </c>
      <c r="E36" t="str">
        <v/>
      </c>
      <c r="F36">
        <v>226.67639951671364</v>
      </c>
      <c r="G36">
        <v>2</v>
      </c>
    </row>
    <row r="37" spans="1:7">
      <c r="A37" t="str">
        <v>University of London Gymnastics Club</v>
      </c>
      <c r="B37" t="str">
        <v>Skye Sands</v>
      </c>
      <c r="C37" t="str">
        <v/>
      </c>
      <c r="D37" t="str">
        <v/>
      </c>
      <c r="E37" t="str">
        <v/>
      </c>
      <c r="F37">
        <v>86.057692307692307</v>
      </c>
      <c r="G37">
        <v>5</v>
      </c>
    </row>
    <row r="38" spans="1:7">
      <c r="A38" t="str">
        <v>University of Southampton</v>
      </c>
      <c r="B38" t="str">
        <v>Ellie Browne</v>
      </c>
      <c r="C38" t="str">
        <v/>
      </c>
      <c r="D38" t="str">
        <v/>
      </c>
      <c r="E38" t="str">
        <v/>
      </c>
      <c r="F38">
        <v>69.951923076923066</v>
      </c>
      <c r="G38">
        <v>7</v>
      </c>
    </row>
    <row r="39" spans="1:7">
      <c r="A39" t="str">
        <v>University of Surrey Gymnastics</v>
      </c>
      <c r="B39" t="str">
        <v>Sophie Warrener</v>
      </c>
      <c r="C39" t="str">
        <v/>
      </c>
      <c r="D39" t="str">
        <v/>
      </c>
      <c r="E39" t="str">
        <v/>
      </c>
      <c r="F39">
        <v>85.09615384615384</v>
      </c>
      <c r="G39">
        <v>6</v>
      </c>
    </row>
  </sheetData>
  <mergeCells count="4">
    <mergeCell ref="A1:G1"/>
    <mergeCell ref="A7:G7"/>
    <mergeCell ref="A19:G19"/>
    <mergeCell ref="A31:G31"/>
  </mergeCells>
  <conditionalFormatting sqref="G8:G18 G32:G1048576 G2:G6 G20:G30">
    <cfRule type="cellIs" dxfId="47" priority="3" operator="equal">
      <formula>1</formula>
    </cfRule>
  </conditionalFormatting>
  <conditionalFormatting sqref="G32:G1048576 G1:G18 G20:G30">
    <cfRule type="cellIs" dxfId="46" priority="1" operator="equal">
      <formula>3</formula>
    </cfRule>
    <cfRule type="cellIs" dxfId="45" priority="2" operator="equal">
      <formula>2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4FB21-A3D0-1941-B527-CA04F52AD5DD}">
  <dimension ref="A1:M18"/>
  <sheetViews>
    <sheetView workbookViewId="0">
      <selection activeCell="J2" sqref="J2"/>
    </sheetView>
  </sheetViews>
  <sheetFormatPr defaultColWidth="11" defaultRowHeight="15.5"/>
  <cols>
    <col min="1" max="1" width="19" style="2" bestFit="1" customWidth="1"/>
    <col min="2" max="10" width="10.83203125" style="3"/>
  </cols>
  <sheetData>
    <row r="1" spans="1:13" s="1" customFormat="1" ht="58" customHeight="1">
      <c r="A1" s="9"/>
      <c r="B1" s="8" t="s">
        <v>2</v>
      </c>
      <c r="C1" s="8" t="s">
        <v>8</v>
      </c>
      <c r="D1" s="8" t="s">
        <v>12</v>
      </c>
      <c r="E1" s="8" t="s">
        <v>10</v>
      </c>
      <c r="F1" s="8" t="s">
        <v>4</v>
      </c>
      <c r="G1" s="8" t="s">
        <v>6</v>
      </c>
      <c r="H1" s="8" t="s">
        <v>16</v>
      </c>
      <c r="I1" s="8" t="s">
        <v>17</v>
      </c>
      <c r="J1" s="8" t="s">
        <v>14</v>
      </c>
      <c r="K1" s="9"/>
      <c r="L1" s="9"/>
      <c r="M1" s="9"/>
    </row>
    <row r="2" spans="1:13">
      <c r="A2" s="11" t="s">
        <v>15</v>
      </c>
      <c r="B2" s="19">
        <f>LARGE('Elite Men'!G:G, 1)</f>
        <v>0</v>
      </c>
      <c r="C2" s="19">
        <f>LARGE('Elite Men'!AB:AB, 1)</f>
        <v>0</v>
      </c>
      <c r="D2" s="19">
        <f>LARGE('Elite Men'!AL:AL, 1)</f>
        <v>0</v>
      </c>
      <c r="E2" s="19">
        <f>LARGE('Elite Men'!AG:AG, 1)</f>
        <v>0</v>
      </c>
      <c r="F2" s="19">
        <f>LARGE('Elite Men'!L:L, 1)</f>
        <v>0</v>
      </c>
      <c r="G2" s="19">
        <f>LARGE('Elite Men'!Q:Q, 1)</f>
        <v>0</v>
      </c>
      <c r="H2" s="20"/>
      <c r="I2" s="21"/>
      <c r="J2" s="19">
        <f>LARGE('Elite Men'!AQ:AQ, 1)</f>
        <v>0</v>
      </c>
      <c r="K2" s="22"/>
      <c r="L2" s="22"/>
      <c r="M2" s="22"/>
    </row>
    <row r="3" spans="1:13">
      <c r="A3" s="11" t="s">
        <v>26</v>
      </c>
      <c r="B3" s="19">
        <f>LARGE('Advanced Women'!G:G, 1)</f>
        <v>12.600000000000001</v>
      </c>
      <c r="C3" s="19">
        <f>LARGE('Advanced Women'!V:V, 1)</f>
        <v>12.700000000000001</v>
      </c>
      <c r="D3" s="21"/>
      <c r="E3" s="21"/>
      <c r="F3" s="21"/>
      <c r="G3" s="21"/>
      <c r="H3" s="19">
        <f>LARGE('Advanced Women'!L:L, 1)</f>
        <v>13.3</v>
      </c>
      <c r="I3" s="19">
        <f>LARGE('Advanced Women'!Q:Q, 1)</f>
        <v>12.1</v>
      </c>
      <c r="J3" s="19">
        <f>LARGE('Advanced Women'!AA:AA, 1)</f>
        <v>36.5</v>
      </c>
      <c r="K3" s="22"/>
      <c r="L3" s="22"/>
      <c r="M3" s="22"/>
    </row>
    <row r="4" spans="1:13">
      <c r="A4" s="11" t="s">
        <v>25</v>
      </c>
      <c r="B4" s="19">
        <f>LARGE('Advanced Men'!G:G, 1)</f>
        <v>12.1</v>
      </c>
      <c r="C4" s="19">
        <f>LARGE('Advanced Men'!V:V,1)</f>
        <v>11.5</v>
      </c>
      <c r="D4" s="19">
        <f>LARGE('Advanced Men'!AF:AF, 1)</f>
        <v>9.6</v>
      </c>
      <c r="E4" s="19">
        <f>LARGE('Advanced Men'!AA:AA, 1)</f>
        <v>11.200000000000001</v>
      </c>
      <c r="F4" s="19">
        <f>LARGE('Advanced Men'!L:L, 1)</f>
        <v>0</v>
      </c>
      <c r="G4" s="19">
        <f>LARGE('Advanced Men'!Q:Q, 1)</f>
        <v>10.8</v>
      </c>
      <c r="H4" s="20"/>
      <c r="I4" s="21"/>
      <c r="J4" s="19">
        <f>LARGE('Advanced Men'!AK:AK, 1)</f>
        <v>43.7</v>
      </c>
      <c r="K4" s="22"/>
      <c r="L4" s="22"/>
      <c r="M4" s="22"/>
    </row>
    <row r="5" spans="1:13">
      <c r="A5" s="11" t="s">
        <v>18</v>
      </c>
      <c r="B5" s="19">
        <f>LARGE('Elite Women'!G:G, 1)</f>
        <v>10.75</v>
      </c>
      <c r="C5" s="19">
        <f>LARGE('Elite Women'!AB:AB, 1)</f>
        <v>11.5</v>
      </c>
      <c r="D5" s="21"/>
      <c r="E5" s="21"/>
      <c r="F5" s="21"/>
      <c r="G5" s="21"/>
      <c r="H5" s="19">
        <f>LARGE('Elite Women'!L:L, 1)</f>
        <v>10.100000000000001</v>
      </c>
      <c r="I5" s="19">
        <f>LARGE('Elite Women'!Q:Q, 1)</f>
        <v>10</v>
      </c>
      <c r="J5" s="19">
        <f>LARGE('Elite Women'!AG:AG, 1)</f>
        <v>42.35</v>
      </c>
      <c r="K5" s="22"/>
      <c r="L5" s="22"/>
      <c r="M5" s="22"/>
    </row>
    <row r="6" spans="1:13">
      <c r="A6" s="11" t="s">
        <v>19</v>
      </c>
      <c r="B6" s="19">
        <f>LARGE('Intermediate Men'!G:G, 1)</f>
        <v>11.5</v>
      </c>
      <c r="C6" s="19">
        <f>LARGE('Intermediate Men'!Q:Q, 1)</f>
        <v>9.6</v>
      </c>
      <c r="D6" s="21"/>
      <c r="E6" s="19">
        <f>LARGE('Intermediate Men'!V:V, 1)</f>
        <v>10.6</v>
      </c>
      <c r="F6" s="21"/>
      <c r="G6" s="19">
        <f>LARGE('Intermediate Men'!L:L, 1)</f>
        <v>11.950000000000001</v>
      </c>
      <c r="H6" s="21"/>
      <c r="I6" s="21"/>
      <c r="J6" s="19">
        <f>LARGE('Intermediate Men'!AA:AA, 1)</f>
        <v>32.450000000000003</v>
      </c>
      <c r="K6" s="22"/>
      <c r="L6" s="22"/>
      <c r="M6" s="22"/>
    </row>
    <row r="7" spans="1:13">
      <c r="A7" s="11" t="s">
        <v>20</v>
      </c>
      <c r="B7" s="19">
        <f>LARGE('Intermediate Women'!G:G, 1)</f>
        <v>12.9</v>
      </c>
      <c r="C7" s="19">
        <f>LARGE('Intermediate Women'!V:V, 1)</f>
        <v>10.35</v>
      </c>
      <c r="D7" s="21"/>
      <c r="E7" s="21"/>
      <c r="F7" s="21"/>
      <c r="G7" s="21"/>
      <c r="H7" s="19">
        <f>LARGE('Intermediate Women'!L:L, 1)</f>
        <v>11.200000000000001</v>
      </c>
      <c r="I7" s="19">
        <f>LARGE('Intermediate Women'!Q:Q, 1)</f>
        <v>10.600000000000001</v>
      </c>
      <c r="J7" s="19">
        <f>LARGE('Intermediate Women'!AA:AA, 1)</f>
        <v>32.400000000000006</v>
      </c>
      <c r="K7" s="22"/>
      <c r="L7" s="22"/>
      <c r="M7" s="22"/>
    </row>
    <row r="8" spans="1:13">
      <c r="A8" s="11" t="s">
        <v>22</v>
      </c>
      <c r="B8" s="19">
        <f>LARGE('Novice Women'!G:G, 1)</f>
        <v>9.4</v>
      </c>
      <c r="C8" s="19">
        <f>LARGE('Novice Women'!L:L, 1)</f>
        <v>11.4</v>
      </c>
      <c r="D8" s="21"/>
      <c r="E8" s="21"/>
      <c r="F8" s="21"/>
      <c r="G8" s="21"/>
      <c r="H8" s="21"/>
      <c r="I8" s="21"/>
      <c r="J8" s="19">
        <f>LARGE('Novice Women'!Q:Q, 1)</f>
        <v>20.8</v>
      </c>
      <c r="K8" s="22"/>
      <c r="L8" s="22"/>
      <c r="M8" s="22"/>
    </row>
    <row r="9" spans="1:13">
      <c r="A9" s="11" t="s">
        <v>21</v>
      </c>
      <c r="B9" s="19">
        <f>LARGE('Novice Men'!G:G, 1)</f>
        <v>8</v>
      </c>
      <c r="C9" s="19">
        <f>LARGE('Novice Men'!L:L, 1)</f>
        <v>11.2</v>
      </c>
      <c r="D9" s="21"/>
      <c r="E9" s="21"/>
      <c r="F9" s="21"/>
      <c r="G9" s="21"/>
      <c r="H9" s="21"/>
      <c r="I9" s="21"/>
      <c r="J9" s="19">
        <f>LARGE('Novice Men'!Q:Q, 1)</f>
        <v>19.100000000000001</v>
      </c>
      <c r="K9" s="22"/>
      <c r="L9" s="22"/>
      <c r="M9" s="22"/>
    </row>
    <row r="10" spans="1:13">
      <c r="A10" s="11"/>
      <c r="B10" s="19"/>
      <c r="C10" s="19"/>
      <c r="D10" s="19"/>
      <c r="E10" s="19"/>
      <c r="F10" s="19"/>
      <c r="G10" s="19"/>
      <c r="H10" s="19"/>
      <c r="I10" s="19"/>
      <c r="J10" s="19"/>
      <c r="K10" s="22"/>
      <c r="L10" s="22"/>
      <c r="M10" s="22"/>
    </row>
    <row r="11" spans="1:13">
      <c r="A11" s="11"/>
      <c r="B11" s="19"/>
      <c r="C11" s="19"/>
      <c r="D11" s="19"/>
      <c r="E11" s="19"/>
      <c r="F11" s="19"/>
      <c r="G11" s="19"/>
      <c r="H11" s="19"/>
      <c r="I11" s="19"/>
      <c r="J11" s="19"/>
      <c r="K11" s="22"/>
      <c r="L11" s="22"/>
      <c r="M11" s="22"/>
    </row>
    <row r="12" spans="1:13">
      <c r="A12" s="11"/>
      <c r="B12" s="19"/>
      <c r="C12" s="19"/>
      <c r="D12" s="19"/>
      <c r="E12" s="19"/>
      <c r="F12" s="19"/>
      <c r="G12" s="19"/>
      <c r="H12" s="19"/>
      <c r="I12" s="19"/>
      <c r="J12" s="19"/>
      <c r="K12" s="22"/>
      <c r="L12" s="22"/>
      <c r="M12" s="22"/>
    </row>
    <row r="13" spans="1:13">
      <c r="A13" s="11"/>
      <c r="B13" s="19"/>
      <c r="C13" s="19"/>
      <c r="D13" s="19"/>
      <c r="E13" s="19"/>
      <c r="F13" s="19"/>
      <c r="G13" s="19"/>
      <c r="H13" s="19"/>
      <c r="I13" s="19"/>
      <c r="J13" s="19"/>
      <c r="K13" s="22"/>
      <c r="L13" s="22"/>
      <c r="M13" s="22"/>
    </row>
    <row r="14" spans="1:13">
      <c r="A14" s="11"/>
      <c r="B14" s="19"/>
      <c r="C14" s="19"/>
      <c r="D14" s="19"/>
      <c r="E14" s="19"/>
      <c r="F14" s="19"/>
      <c r="G14" s="19"/>
      <c r="H14" s="19"/>
      <c r="I14" s="19"/>
      <c r="J14" s="19"/>
      <c r="K14" s="22"/>
      <c r="L14" s="22"/>
      <c r="M14" s="22"/>
    </row>
    <row r="15" spans="1:13">
      <c r="A15" s="11"/>
      <c r="B15" s="19"/>
      <c r="C15" s="19"/>
      <c r="D15" s="19"/>
      <c r="E15" s="19"/>
      <c r="F15" s="19"/>
      <c r="G15" s="19"/>
      <c r="H15" s="19"/>
      <c r="I15" s="19"/>
      <c r="J15" s="19"/>
      <c r="K15" s="22"/>
      <c r="L15" s="22"/>
      <c r="M15" s="22"/>
    </row>
    <row r="16" spans="1:13">
      <c r="A16" s="11"/>
      <c r="B16" s="19"/>
      <c r="C16" s="19"/>
      <c r="D16" s="19"/>
      <c r="E16" s="19"/>
      <c r="F16" s="19"/>
      <c r="G16" s="19"/>
      <c r="H16" s="19"/>
      <c r="I16" s="19"/>
      <c r="J16" s="19"/>
      <c r="K16" s="22"/>
      <c r="L16" s="22"/>
      <c r="M16" s="22"/>
    </row>
    <row r="17" spans="1:13">
      <c r="A17" s="11"/>
      <c r="B17" s="19"/>
      <c r="C17" s="19"/>
      <c r="D17" s="19"/>
      <c r="E17" s="19"/>
      <c r="F17" s="19"/>
      <c r="G17" s="19"/>
      <c r="H17" s="19"/>
      <c r="I17" s="19"/>
      <c r="J17" s="19"/>
      <c r="K17" s="22"/>
      <c r="L17" s="22"/>
      <c r="M17" s="22"/>
    </row>
    <row r="18" spans="1:13">
      <c r="A18" s="11"/>
      <c r="B18" s="19"/>
      <c r="C18" s="19"/>
      <c r="D18" s="19"/>
      <c r="E18" s="19"/>
      <c r="F18" s="19"/>
      <c r="G18" s="19"/>
      <c r="H18" s="19"/>
      <c r="I18" s="19"/>
      <c r="J18" s="19"/>
      <c r="K18" s="22"/>
      <c r="L18" s="22"/>
      <c r="M18" s="22"/>
    </row>
  </sheetData>
  <sheetProtection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7BC66-B58B-48B4-BAEC-7E8090259BBD}">
  <dimension ref="A2:T28"/>
  <sheetViews>
    <sheetView workbookViewId="0">
      <selection activeCell="J2" sqref="J2"/>
    </sheetView>
  </sheetViews>
  <sheetFormatPr defaultColWidth="8.83203125" defaultRowHeight="15.5"/>
  <cols>
    <col min="1" max="1" width="21" bestFit="1" customWidth="1"/>
    <col min="2" max="2" width="15" bestFit="1" customWidth="1"/>
    <col min="3" max="3" width="13.08203125" bestFit="1" customWidth="1"/>
    <col min="4" max="4" width="18.5" bestFit="1" customWidth="1"/>
    <col min="5" max="5" width="6.83203125" bestFit="1" customWidth="1"/>
    <col min="6" max="6" width="11.5" bestFit="1" customWidth="1"/>
    <col min="7" max="7" width="14" bestFit="1" customWidth="1"/>
    <col min="8" max="8" width="13.5" bestFit="1" customWidth="1"/>
    <col min="9" max="9" width="13.08203125" bestFit="1" customWidth="1"/>
    <col min="10" max="10" width="15.5" bestFit="1" customWidth="1"/>
    <col min="11" max="11" width="13.33203125" bestFit="1" customWidth="1"/>
    <col min="12" max="13" width="14" bestFit="1" customWidth="1"/>
    <col min="14" max="14" width="13" bestFit="1" customWidth="1"/>
    <col min="15" max="15" width="14.08203125" bestFit="1" customWidth="1"/>
    <col min="16" max="16" width="19" bestFit="1" customWidth="1"/>
    <col min="17" max="17" width="13.08203125" bestFit="1" customWidth="1"/>
    <col min="18" max="18" width="9.08203125" bestFit="1" customWidth="1"/>
    <col min="19" max="19" width="11.5" bestFit="1" customWidth="1"/>
    <col min="20" max="20" width="10.83203125" bestFit="1" customWidth="1"/>
    <col min="21" max="21" width="18.33203125" bestFit="1" customWidth="1"/>
    <col min="22" max="22" width="15.58203125" bestFit="1" customWidth="1"/>
    <col min="23" max="23" width="19" bestFit="1" customWidth="1"/>
    <col min="24" max="24" width="15.83203125" bestFit="1" customWidth="1"/>
    <col min="25" max="25" width="19" bestFit="1" customWidth="1"/>
    <col min="26" max="26" width="22.58203125" bestFit="1" customWidth="1"/>
    <col min="27" max="27" width="18" bestFit="1" customWidth="1"/>
    <col min="28" max="28" width="33.33203125" bestFit="1" customWidth="1"/>
    <col min="29" max="29" width="19.08203125" bestFit="1" customWidth="1"/>
    <col min="30" max="30" width="20.83203125" bestFit="1" customWidth="1"/>
    <col min="31" max="31" width="24" bestFit="1" customWidth="1"/>
    <col min="32" max="32" width="23" bestFit="1" customWidth="1"/>
    <col min="33" max="33" width="18.08203125" bestFit="1" customWidth="1"/>
    <col min="34" max="34" width="13.5" bestFit="1" customWidth="1"/>
    <col min="35" max="35" width="14.08203125" bestFit="1" customWidth="1"/>
    <col min="36" max="36" width="13.5" bestFit="1" customWidth="1"/>
    <col min="37" max="37" width="16.5" bestFit="1" customWidth="1"/>
    <col min="38" max="38" width="13.5" bestFit="1" customWidth="1"/>
    <col min="39" max="39" width="14.58203125" bestFit="1" customWidth="1"/>
  </cols>
  <sheetData>
    <row r="2" spans="1:4">
      <c r="A2" t="str" cm="1">
        <f t="array" ref="A2:A3">'Elite Men'!A1:A2</f>
        <v>University / Institution</v>
      </c>
      <c r="B2" t="str" cm="1">
        <f t="array" ref="B2:B3">'Elite Men'!C1:C2</f>
        <v>Name</v>
      </c>
      <c r="C2" t="s">
        <v>48</v>
      </c>
    </row>
    <row r="3" spans="1:4">
      <c r="A3" t="str">
        <v>Portsmouth</v>
      </c>
      <c r="B3" t="str">
        <v>Finlay Morgan</v>
      </c>
      <c r="C3" s="3" t="e">
        <f>IF('Elite Men'!AS2, 'Elite Men'!AS2, "nil")</f>
        <v>#VALUE!</v>
      </c>
    </row>
    <row r="4" spans="1:4">
      <c r="A4" t="str" cm="1">
        <f t="array" ref="A4:A5">'Elite Women'!A2:A3</f>
        <v>Portsmouth</v>
      </c>
      <c r="B4" t="str" cm="1">
        <f t="array" ref="B4:B5">'Elite Women'!C2:C3</f>
        <v>Gianna Webbe</v>
      </c>
      <c r="C4" s="3">
        <f>IF('Elite Women'!AI2, 'Elite Women'!AI2, "nil")</f>
        <v>100</v>
      </c>
    </row>
    <row r="5" spans="1:4">
      <c r="A5" t="str">
        <v>Cardiff Met Gymnastics</v>
      </c>
      <c r="B5" t="str">
        <v>Rushani Arumugham</v>
      </c>
      <c r="C5" s="3">
        <f>IF('Elite Women'!AI3, 'Elite Women'!AI3, "nil")</f>
        <v>92.207792207792195</v>
      </c>
    </row>
    <row r="10" spans="1:4">
      <c r="A10" s="42" t="s">
        <v>106</v>
      </c>
      <c r="B10" s="42" t="s">
        <v>108</v>
      </c>
    </row>
    <row r="11" spans="1:4">
      <c r="A11" s="42" t="s">
        <v>105</v>
      </c>
      <c r="B11" t="s">
        <v>70</v>
      </c>
      <c r="C11" t="s">
        <v>82</v>
      </c>
      <c r="D11" t="s">
        <v>81</v>
      </c>
    </row>
    <row r="12" spans="1:4">
      <c r="A12" s="43" t="s">
        <v>73</v>
      </c>
      <c r="B12" s="44"/>
      <c r="C12" s="44"/>
      <c r="D12" s="44">
        <v>92.207792207792195</v>
      </c>
    </row>
    <row r="13" spans="1:4">
      <c r="A13" s="43" t="s">
        <v>69</v>
      </c>
      <c r="B13" s="44">
        <v>0</v>
      </c>
      <c r="C13" s="44">
        <v>100</v>
      </c>
      <c r="D13" s="44"/>
    </row>
    <row r="14" spans="1:4">
      <c r="A14" s="43" t="s">
        <v>107</v>
      </c>
      <c r="B14" s="44">
        <v>0</v>
      </c>
      <c r="C14" s="44">
        <v>100</v>
      </c>
      <c r="D14" s="44">
        <v>92.207792207792195</v>
      </c>
    </row>
    <row r="21" spans="1:20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>
      <c r="A22" s="43" t="s">
        <v>109</v>
      </c>
      <c r="B22" t="s">
        <v>110</v>
      </c>
      <c r="C22" t="s">
        <v>111</v>
      </c>
      <c r="D22" t="s">
        <v>112</v>
      </c>
      <c r="E22" t="s">
        <v>113</v>
      </c>
      <c r="F22" t="s">
        <v>114</v>
      </c>
      <c r="G22" t="s">
        <v>96</v>
      </c>
    </row>
    <row r="23" spans="1:20">
      <c r="A23" t="str">
        <f>A12</f>
        <v>Cardiff Met Gymnastics</v>
      </c>
      <c r="B23">
        <f>IFERROR(IF(LARGE(12:12, 1), LARGE(12:12,1),"n/a"), "")</f>
        <v>92.207792207792195</v>
      </c>
      <c r="C23" t="str">
        <f>IFERROR(IF(LARGE(12:12, 2), LARGE(12:12,2),"n/a"), "")</f>
        <v/>
      </c>
      <c r="D23" t="str">
        <f>IFERROR(IF(LARGE(12:12, 3), LARGE(12:12,3),"n/a"), "")</f>
        <v/>
      </c>
      <c r="E23" t="str">
        <f>IFERROR(IF(LARGE(12:12, 4), LARGE(12:12,4),"n/a"), "")</f>
        <v/>
      </c>
      <c r="F23">
        <f>SUM(B23:E23)</f>
        <v>92.207792207792195</v>
      </c>
      <c r="G23">
        <f>RANK(F23, F$23:F$24,0)</f>
        <v>2</v>
      </c>
    </row>
    <row r="24" spans="1:20">
      <c r="A24" t="str">
        <f t="shared" ref="A24" si="0">A13</f>
        <v>Portsmouth</v>
      </c>
      <c r="B24">
        <f t="shared" ref="B24" si="1">IFERROR(IF(LARGE(13:13, 1), LARGE(13:13,1),"n/a"), "")</f>
        <v>100</v>
      </c>
      <c r="C24" t="str">
        <f t="shared" ref="C24" si="2">IFERROR(IF(LARGE(13:13, 2), LARGE(13:13,2),"n/a"), "")</f>
        <v>n/a</v>
      </c>
      <c r="D24" t="str">
        <f t="shared" ref="D24" si="3">IFERROR(IF(LARGE(13:13, 3), LARGE(13:13,3),"n/a"), "")</f>
        <v/>
      </c>
      <c r="E24" t="str">
        <f t="shared" ref="E24" si="4">IFERROR(IF(LARGE(13:13, 4), LARGE(13:13,4),"n/a"), "")</f>
        <v/>
      </c>
      <c r="F24">
        <f t="shared" ref="F24" si="5">SUM(B24:E24)</f>
        <v>100</v>
      </c>
      <c r="G24">
        <f>RANK(F24, F$23:F$24,0)</f>
        <v>1</v>
      </c>
    </row>
    <row r="25" spans="1:20" ht="16" thickBot="1"/>
    <row r="26" spans="1:20" ht="16" thickBot="1">
      <c r="A26" t="s">
        <v>109</v>
      </c>
      <c r="B26" t="s">
        <v>115</v>
      </c>
      <c r="C26" t="s">
        <v>116</v>
      </c>
      <c r="D26" t="s">
        <v>117</v>
      </c>
      <c r="E26" t="s">
        <v>118</v>
      </c>
      <c r="F26" t="s">
        <v>114</v>
      </c>
      <c r="G26" s="45" t="s">
        <v>96</v>
      </c>
    </row>
    <row r="27" spans="1:20">
      <c r="A27" t="str">
        <f>A23</f>
        <v>Cardiff Met Gymnastics</v>
      </c>
      <c r="B27" t="str" cm="1">
        <f t="array" ref="B27">IFERROR(_xlfn.XLOOKUP(1, ($C$3:$C$5 = B23) * ($A$3:$A$5 = $A23), $B$3:$B$5), "")</f>
        <v>Rushani Arumugham</v>
      </c>
      <c r="C27" t="str" cm="1">
        <f t="array" ref="C27">IFERROR(_xlfn.XLOOKUP(1, ($C$3:$C$5 = C23) * ($A$3:$A$5 = $A23), $B$3:$B$5), "")</f>
        <v/>
      </c>
      <c r="D27" t="str" cm="1">
        <f t="array" ref="D27">IFERROR(_xlfn.XLOOKUP(1, ($C$3:$C$5 = D23) * ($A$3:$A$5 = $A23), $B$3:$B$5), "")</f>
        <v/>
      </c>
      <c r="E27" t="str" cm="1">
        <f t="array" ref="E27">IFERROR(_xlfn.XLOOKUP(1, ($C$3:$C$5 = E23) * ($A$3:$A$5 = $A23), $B$3:$B$5), "")</f>
        <v/>
      </c>
      <c r="F27">
        <f>SUM(B23:E23)</f>
        <v>92.207792207792195</v>
      </c>
      <c r="G27" s="46">
        <f>RANK(F23, F$23:F$24,0)</f>
        <v>2</v>
      </c>
    </row>
    <row r="28" spans="1:20">
      <c r="A28" t="str">
        <f>A24</f>
        <v>Portsmouth</v>
      </c>
      <c r="B28" t="str" cm="1">
        <f t="array" ref="B28">IFERROR(_xlfn.XLOOKUP(1, ($C$3:$C$5 = B24) * ($A$3:$A$5 = $A24), $B$3:$B$5), "")</f>
        <v>Gianna Webbe</v>
      </c>
      <c r="C28" t="str" cm="1">
        <f t="array" ref="C28">IFERROR(_xlfn.XLOOKUP(1, ($C$3:$C$5 = C24) * ($A$3:$A$5 = $A24), $B$3:$B$5), "")</f>
        <v/>
      </c>
      <c r="D28" t="str" cm="1">
        <f t="array" ref="D28">IFERROR(_xlfn.XLOOKUP(1, ($C$3:$C$5 = D24) * ($A$3:$A$5 = $A24), $B$3:$B$5), "")</f>
        <v/>
      </c>
      <c r="E28" t="str" cm="1">
        <f t="array" ref="E28">IFERROR(_xlfn.XLOOKUP(1, ($C$3:$C$5 = E24) * ($A$3:$A$5 = $A24), $B$3:$B$5), "")</f>
        <v/>
      </c>
      <c r="F28">
        <f>SUM(B24:E24)</f>
        <v>100</v>
      </c>
      <c r="G28" s="47">
        <f>RANK(F24, F$23:F$24,0)</f>
        <v>1</v>
      </c>
    </row>
  </sheetData>
  <phoneticPr fontId="2" type="noConversion"/>
  <pageMargins left="0.7" right="0.7" top="0.75" bottom="0.75" header="0.3" footer="0.3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517C8-8498-4673-9EF7-437EE9C6953F}">
  <dimension ref="A1:Z80"/>
  <sheetViews>
    <sheetView topLeftCell="A22" zoomScale="55" zoomScaleNormal="55" workbookViewId="0">
      <selection activeCell="J2" sqref="J2"/>
    </sheetView>
  </sheetViews>
  <sheetFormatPr defaultColWidth="8.83203125" defaultRowHeight="15.5"/>
  <cols>
    <col min="1" max="1" width="40.75" bestFit="1" customWidth="1"/>
    <col min="2" max="2" width="22.83203125" bestFit="1" customWidth="1"/>
    <col min="3" max="3" width="17.08203125" bestFit="1" customWidth="1"/>
    <col min="4" max="4" width="19.25" bestFit="1" customWidth="1"/>
    <col min="5" max="5" width="20.58203125" bestFit="1" customWidth="1"/>
    <col min="6" max="6" width="15.58203125" bestFit="1" customWidth="1"/>
    <col min="7" max="7" width="18.08203125" bestFit="1" customWidth="1"/>
    <col min="8" max="8" width="32.83203125" bestFit="1" customWidth="1"/>
    <col min="9" max="9" width="17.58203125" bestFit="1" customWidth="1"/>
    <col min="10" max="10" width="18.25" bestFit="1" customWidth="1"/>
    <col min="11" max="11" width="14" bestFit="1" customWidth="1"/>
    <col min="12" max="12" width="17.33203125" bestFit="1" customWidth="1"/>
    <col min="13" max="13" width="15.58203125" bestFit="1" customWidth="1"/>
    <col min="14" max="14" width="16.75" bestFit="1" customWidth="1"/>
    <col min="15" max="15" width="13.75" bestFit="1" customWidth="1"/>
    <col min="16" max="16" width="23.25" bestFit="1" customWidth="1"/>
    <col min="17" max="17" width="14.25" bestFit="1" customWidth="1"/>
    <col min="18" max="18" width="17" bestFit="1" customWidth="1"/>
    <col min="19" max="19" width="18.25" bestFit="1" customWidth="1"/>
    <col min="20" max="20" width="17" bestFit="1" customWidth="1"/>
    <col min="21" max="21" width="14.5" bestFit="1" customWidth="1"/>
    <col min="22" max="22" width="19.83203125" bestFit="1" customWidth="1"/>
    <col min="23" max="23" width="14" bestFit="1" customWidth="1"/>
    <col min="24" max="24" width="27.58203125" bestFit="1" customWidth="1"/>
    <col min="25" max="25" width="28.08203125" bestFit="1" customWidth="1"/>
    <col min="26" max="26" width="16.25" bestFit="1" customWidth="1"/>
    <col min="27" max="27" width="19.58203125" bestFit="1" customWidth="1"/>
    <col min="28" max="28" width="18.33203125" bestFit="1" customWidth="1"/>
    <col min="29" max="29" width="12.5" bestFit="1" customWidth="1"/>
    <col min="30" max="30" width="18.08203125" bestFit="1" customWidth="1"/>
    <col min="31" max="31" width="18" bestFit="1" customWidth="1"/>
    <col min="32" max="32" width="14" bestFit="1" customWidth="1"/>
    <col min="33" max="33" width="13" bestFit="1" customWidth="1"/>
    <col min="34" max="34" width="12.58203125" bestFit="1" customWidth="1"/>
    <col min="35" max="35" width="11.83203125" bestFit="1" customWidth="1"/>
    <col min="36" max="36" width="14" bestFit="1" customWidth="1"/>
    <col min="37" max="38" width="11.83203125" bestFit="1" customWidth="1"/>
    <col min="39" max="39" width="12.08203125" bestFit="1" customWidth="1"/>
    <col min="40" max="40" width="11.83203125" bestFit="1" customWidth="1"/>
    <col min="41" max="41" width="14" bestFit="1" customWidth="1"/>
    <col min="42" max="42" width="11.83203125" bestFit="1" customWidth="1"/>
    <col min="43" max="43" width="11.08203125" bestFit="1" customWidth="1"/>
    <col min="44" max="44" width="23.5" bestFit="1" customWidth="1"/>
    <col min="45" max="45" width="15.33203125" bestFit="1" customWidth="1"/>
    <col min="46" max="47" width="11.83203125" bestFit="1" customWidth="1"/>
    <col min="48" max="48" width="16" bestFit="1" customWidth="1"/>
    <col min="49" max="49" width="15.08203125" bestFit="1" customWidth="1"/>
    <col min="50" max="50" width="14.5" bestFit="1" customWidth="1"/>
    <col min="51" max="51" width="12" bestFit="1" customWidth="1"/>
    <col min="52" max="52" width="16.5" bestFit="1" customWidth="1"/>
    <col min="53" max="53" width="14.5" bestFit="1" customWidth="1"/>
    <col min="54" max="54" width="11.83203125" bestFit="1" customWidth="1"/>
    <col min="55" max="55" width="11.58203125" bestFit="1" customWidth="1"/>
    <col min="56" max="56" width="13.83203125" bestFit="1" customWidth="1"/>
    <col min="57" max="57" width="12.5" bestFit="1" customWidth="1"/>
    <col min="58" max="58" width="11.83203125" bestFit="1" customWidth="1"/>
    <col min="59" max="59" width="13.08203125" bestFit="1" customWidth="1"/>
    <col min="60" max="60" width="13.58203125" bestFit="1" customWidth="1"/>
    <col min="61" max="61" width="11.83203125" bestFit="1" customWidth="1"/>
    <col min="62" max="62" width="12.58203125" bestFit="1" customWidth="1"/>
    <col min="63" max="63" width="17.33203125" bestFit="1" customWidth="1"/>
    <col min="64" max="64" width="16" bestFit="1" customWidth="1"/>
    <col min="65" max="65" width="12.5" bestFit="1" customWidth="1"/>
    <col min="66" max="66" width="15" bestFit="1" customWidth="1"/>
    <col min="67" max="67" width="12.33203125" bestFit="1" customWidth="1"/>
    <col min="68" max="68" width="15.08203125" bestFit="1" customWidth="1"/>
    <col min="69" max="69" width="11.83203125" bestFit="1" customWidth="1"/>
    <col min="70" max="70" width="12.5" bestFit="1" customWidth="1"/>
    <col min="71" max="71" width="15.5" bestFit="1" customWidth="1"/>
    <col min="72" max="72" width="22.33203125" bestFit="1" customWidth="1"/>
    <col min="73" max="73" width="15.08203125" bestFit="1" customWidth="1"/>
    <col min="74" max="74" width="12.5" bestFit="1" customWidth="1"/>
    <col min="75" max="75" width="11.83203125" bestFit="1" customWidth="1"/>
    <col min="76" max="76" width="14.5" bestFit="1" customWidth="1"/>
    <col min="77" max="77" width="15.5" bestFit="1" customWidth="1"/>
    <col min="78" max="78" width="11.83203125" bestFit="1" customWidth="1"/>
  </cols>
  <sheetData>
    <row r="1" spans="1:3">
      <c r="A1" t="str" cm="1">
        <f t="array" ref="A1:A21">'Advanced Women'!A1:A21</f>
        <v>University / Institution</v>
      </c>
      <c r="B1" t="str" cm="1">
        <f t="array" ref="B1:B21">'Advanced Women'!C1:C21</f>
        <v>Name</v>
      </c>
      <c r="C1" t="s">
        <v>48</v>
      </c>
    </row>
    <row r="2" spans="1:3">
      <c r="A2" t="str">
        <v>UEA Gymnastics Club</v>
      </c>
      <c r="B2" t="str">
        <v>Lucy Griffiths</v>
      </c>
      <c r="C2">
        <f>IF('Advanced Women'!AC2, 'Advanced Women'!AC2, "nil")</f>
        <v>100</v>
      </c>
    </row>
    <row r="3" spans="1:3">
      <c r="A3" t="str">
        <v>Cardiff Met Gymnastics</v>
      </c>
      <c r="B3" t="str">
        <v>Megan Harper</v>
      </c>
      <c r="C3">
        <f>IF('Advanced Women'!AC3, 'Advanced Women'!AC3, "nil")</f>
        <v>99.452054794520535</v>
      </c>
    </row>
    <row r="4" spans="1:3">
      <c r="A4" t="str">
        <v>Cardiff Met Gymnastics</v>
      </c>
      <c r="B4" t="str">
        <v>Abbie Godsall</v>
      </c>
      <c r="C4">
        <f>IF('Advanced Women'!AC4, 'Advanced Women'!AC4, "nil")</f>
        <v>98.904109589041099</v>
      </c>
    </row>
    <row r="5" spans="1:3">
      <c r="A5" t="str">
        <v>University of Southampton</v>
      </c>
      <c r="B5" t="str">
        <v>Karley Moreton</v>
      </c>
      <c r="C5">
        <f>IF('Advanced Women'!AC5, 'Advanced Women'!AC5, "nil")</f>
        <v>98.082191780821915</v>
      </c>
    </row>
    <row r="6" spans="1:3">
      <c r="A6" t="str">
        <v>FXU (falmouth and Exeter)</v>
      </c>
      <c r="B6" t="str">
        <v>Lizzy Quigley</v>
      </c>
      <c r="C6">
        <f>IF('Advanced Women'!AC6, 'Advanced Women'!AC6, "nil")</f>
        <v>92.602739726027394</v>
      </c>
    </row>
    <row r="7" spans="1:3">
      <c r="A7" t="str">
        <v>UEA Gymnastics Club</v>
      </c>
      <c r="B7" t="str">
        <v>Lauren Colquhoun</v>
      </c>
      <c r="C7">
        <f>IF('Advanced Women'!AC7, 'Advanced Women'!AC7, "nil")</f>
        <v>91.506849315068493</v>
      </c>
    </row>
    <row r="8" spans="1:3">
      <c r="A8" t="str">
        <v>Cardiff Met Gymnastics</v>
      </c>
      <c r="B8" t="str">
        <v>Diamond Dill</v>
      </c>
      <c r="C8">
        <f>IF('Advanced Women'!AC8, 'Advanced Women'!AC8, "nil")</f>
        <v>91.232876712328761</v>
      </c>
    </row>
    <row r="9" spans="1:3">
      <c r="A9" t="str">
        <v>Cardiff Met Gymnastics</v>
      </c>
      <c r="B9" t="str">
        <v>Kayleigh Gazmuri-Symmes</v>
      </c>
      <c r="C9">
        <f>IF('Advanced Women'!AC9, 'Advanced Women'!AC9, "nil")</f>
        <v>90.958904109589042</v>
      </c>
    </row>
    <row r="10" spans="1:3">
      <c r="A10" t="str">
        <v>UEA Gymnastics Club</v>
      </c>
      <c r="B10" t="str">
        <v>Elizabeth Payne</v>
      </c>
      <c r="C10">
        <f>IF('Advanced Women'!AC10, 'Advanced Women'!AC10, "nil")</f>
        <v>89.315068493150676</v>
      </c>
    </row>
    <row r="11" spans="1:3">
      <c r="A11" t="str">
        <v>Portsmouth</v>
      </c>
      <c r="B11" t="str">
        <v>Molly Robson</v>
      </c>
      <c r="C11">
        <f>IF('Advanced Women'!AC11, 'Advanced Women'!AC11, "nil")</f>
        <v>89.041095890410958</v>
      </c>
    </row>
    <row r="12" spans="1:3">
      <c r="A12" t="str">
        <v>Cardiff Met Gymnastics</v>
      </c>
      <c r="B12" t="str">
        <v>Abbie Moore</v>
      </c>
      <c r="C12">
        <f>IF('Advanced Women'!AC12, 'Advanced Women'!AC12, "nil")</f>
        <v>88.219178082191789</v>
      </c>
    </row>
    <row r="13" spans="1:3">
      <c r="A13" t="str">
        <v>University of Southampton</v>
      </c>
      <c r="B13" t="str">
        <v>Leah White</v>
      </c>
      <c r="C13">
        <f>IF('Advanced Women'!AC13, 'Advanced Women'!AC13, "nil")</f>
        <v>86.301369863013704</v>
      </c>
    </row>
    <row r="14" spans="1:3">
      <c r="A14" t="str">
        <v>UEA Gymnastics Club</v>
      </c>
      <c r="B14" t="str">
        <v>Eve Linfoot</v>
      </c>
      <c r="C14">
        <f>IF('Advanced Women'!AC14, 'Advanced Women'!AC14, "nil")</f>
        <v>85.753424657534239</v>
      </c>
    </row>
    <row r="15" spans="1:3">
      <c r="A15" t="str">
        <v>Portsmouth</v>
      </c>
      <c r="B15" t="str">
        <v>Olivia Han</v>
      </c>
      <c r="C15">
        <f>IF('Advanced Women'!AC15, 'Advanced Women'!AC15, "nil")</f>
        <v>84.38356164383562</v>
      </c>
    </row>
    <row r="16" spans="1:3">
      <c r="A16" t="str">
        <v>Cardiff Met Gymnastics</v>
      </c>
      <c r="B16" t="str">
        <v>Thea Jones</v>
      </c>
      <c r="C16">
        <f>IF('Advanced Women'!AC16, 'Advanced Women'!AC16, "nil")</f>
        <v>82.191780821917803</v>
      </c>
    </row>
    <row r="17" spans="1:3">
      <c r="A17" t="str">
        <v>Cardiff Met Gymnastics</v>
      </c>
      <c r="B17" t="str">
        <v>Esther Haigh</v>
      </c>
      <c r="C17">
        <f>IF('Advanced Women'!AC17, 'Advanced Women'!AC17, "nil")</f>
        <v>80</v>
      </c>
    </row>
    <row r="18" spans="1:3">
      <c r="A18" t="str">
        <v>University of Surrey Gymnastics</v>
      </c>
      <c r="B18" t="str">
        <v>Jess Fyvie</v>
      </c>
      <c r="C18">
        <f>IF('Advanced Women'!AC18, 'Advanced Women'!AC18, "nil")</f>
        <v>71.780821917808211</v>
      </c>
    </row>
    <row r="19" spans="1:3">
      <c r="A19" t="str">
        <v>UEA Gymnastics Club</v>
      </c>
      <c r="B19" t="str">
        <v>Heather Nixey</v>
      </c>
      <c r="C19">
        <f>IF('Advanced Women'!AC19, 'Advanced Women'!AC19, "nil")</f>
        <v>51.780821917808218</v>
      </c>
    </row>
    <row r="20" spans="1:3">
      <c r="A20" t="str">
        <v>UEA Gymnastics Club</v>
      </c>
      <c r="B20" t="str">
        <v>Olivia Bell</v>
      </c>
      <c r="C20" t="str">
        <f>IF('Advanced Women'!AC20, 'Advanced Women'!AC20, "nil")</f>
        <v>nil</v>
      </c>
    </row>
    <row r="21" spans="1:3">
      <c r="A21" t="str">
        <v>KCL Lions Cheerleading and Gymnastics</v>
      </c>
      <c r="B21" t="str">
        <v>Olivia Essex</v>
      </c>
      <c r="C21" t="str">
        <f>IF('Advanced Women'!AC21, 'Advanced Women'!AC21, "nil")</f>
        <v>nil</v>
      </c>
    </row>
    <row r="22" spans="1:3">
      <c r="A22" t="str" cm="1">
        <f t="array" ref="A22:A26">'Advanced Men'!A2:A6</f>
        <v>Portsmouth</v>
      </c>
      <c r="B22" t="str" cm="1">
        <f t="array" ref="B22:B26">'Advanced Men'!C2:C6</f>
        <v>Robbie White</v>
      </c>
      <c r="C22">
        <f>IF('Advanced Men'!AM2, 'Advanced Men'!AM2, "nil")</f>
        <v>100</v>
      </c>
    </row>
    <row r="23" spans="1:3">
      <c r="A23" t="str">
        <v>University of Birmingham Gymnastics</v>
      </c>
      <c r="B23" t="str">
        <v>Archie Belfield</v>
      </c>
      <c r="C23">
        <f>IF('Advanced Men'!AM3, 'Advanced Men'!AM3, "nil")</f>
        <v>99.313501144164732</v>
      </c>
    </row>
    <row r="24" spans="1:3">
      <c r="A24" t="str">
        <v>University of Southampton</v>
      </c>
      <c r="B24" t="str">
        <v>Will Evans</v>
      </c>
      <c r="C24">
        <f>IF('Advanced Men'!AM4, 'Advanced Men'!AM4, "nil")</f>
        <v>97.254004576659042</v>
      </c>
    </row>
    <row r="25" spans="1:3">
      <c r="A25" t="str">
        <v>University of London Gymnastics Club</v>
      </c>
      <c r="B25" t="str">
        <v>Suryava Bhattacharya</v>
      </c>
      <c r="C25">
        <f>IF('Advanced Men'!AM5, 'Advanced Men'!AM5, "nil")</f>
        <v>81.235697940503428</v>
      </c>
    </row>
    <row r="26" spans="1:3">
      <c r="A26" t="str">
        <v>University of Surrey Gymnastics</v>
      </c>
      <c r="B26" t="str">
        <v>Pavalan Mootoosamy</v>
      </c>
      <c r="C26">
        <f>IF('Advanced Men'!AM6, 'Advanced Men'!AM6, "nil")</f>
        <v>48.054919908466815</v>
      </c>
    </row>
    <row r="41" spans="1:26">
      <c r="A41" s="42" t="s">
        <v>106</v>
      </c>
      <c r="B41" s="42" t="s">
        <v>108</v>
      </c>
    </row>
    <row r="42" spans="1:26">
      <c r="A42" s="42" t="s">
        <v>105</v>
      </c>
      <c r="B42" t="s">
        <v>85</v>
      </c>
      <c r="C42" t="s">
        <v>87</v>
      </c>
      <c r="D42" t="s">
        <v>97</v>
      </c>
      <c r="E42" t="s">
        <v>90</v>
      </c>
      <c r="F42" t="s">
        <v>91</v>
      </c>
      <c r="G42" t="s">
        <v>84</v>
      </c>
      <c r="H42" t="s">
        <v>86</v>
      </c>
      <c r="I42" t="s">
        <v>83</v>
      </c>
      <c r="J42" t="s">
        <v>88</v>
      </c>
      <c r="K42" t="s">
        <v>89</v>
      </c>
      <c r="L42" t="s">
        <v>72</v>
      </c>
      <c r="M42" t="s">
        <v>94</v>
      </c>
      <c r="N42" t="s">
        <v>141</v>
      </c>
      <c r="O42" t="s">
        <v>142</v>
      </c>
      <c r="P42" t="s">
        <v>143</v>
      </c>
      <c r="Q42" t="s">
        <v>144</v>
      </c>
      <c r="R42" t="s">
        <v>145</v>
      </c>
      <c r="S42" t="s">
        <v>146</v>
      </c>
      <c r="T42" t="s">
        <v>148</v>
      </c>
      <c r="U42" t="s">
        <v>149</v>
      </c>
      <c r="V42" t="s">
        <v>150</v>
      </c>
      <c r="W42" t="s">
        <v>126</v>
      </c>
      <c r="X42" t="s">
        <v>99</v>
      </c>
      <c r="Y42" t="s">
        <v>127</v>
      </c>
      <c r="Z42" t="s">
        <v>180</v>
      </c>
    </row>
    <row r="43" spans="1:26">
      <c r="A43" s="43" t="s">
        <v>73</v>
      </c>
      <c r="B43" s="44">
        <v>98.904109589041099</v>
      </c>
      <c r="C43" s="44">
        <v>88.219178082191789</v>
      </c>
      <c r="D43" s="44"/>
      <c r="E43" s="44"/>
      <c r="F43" s="44"/>
      <c r="G43" s="44"/>
      <c r="H43" s="44">
        <v>90.958904109589042</v>
      </c>
      <c r="I43" s="44"/>
      <c r="J43" s="44"/>
      <c r="K43" s="44"/>
      <c r="L43" s="44"/>
      <c r="M43" s="44">
        <v>82.191780821917803</v>
      </c>
      <c r="N43" s="44"/>
      <c r="O43" s="44"/>
      <c r="P43" s="44"/>
      <c r="Q43" s="44"/>
      <c r="R43" s="44">
        <v>91.232876712328761</v>
      </c>
      <c r="S43" s="44">
        <v>99.452054794520535</v>
      </c>
      <c r="T43" s="44">
        <v>80</v>
      </c>
      <c r="U43" s="44"/>
      <c r="V43" s="44"/>
      <c r="W43" s="44"/>
      <c r="X43" s="44"/>
      <c r="Y43" s="44"/>
      <c r="Z43" s="44"/>
    </row>
    <row r="44" spans="1:26">
      <c r="A44" s="43" t="s">
        <v>69</v>
      </c>
      <c r="B44" s="44"/>
      <c r="C44" s="44"/>
      <c r="D44" s="44"/>
      <c r="E44" s="44"/>
      <c r="F44" s="44"/>
      <c r="G44" s="44"/>
      <c r="H44" s="44"/>
      <c r="I44" s="44"/>
      <c r="J44" s="44">
        <v>89.041095890410958</v>
      </c>
      <c r="K44" s="44">
        <v>84.38356164383562</v>
      </c>
      <c r="L44" s="44">
        <v>100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>
      <c r="A45" s="43" t="s">
        <v>74</v>
      </c>
      <c r="B45" s="44"/>
      <c r="C45" s="44"/>
      <c r="D45" s="44"/>
      <c r="E45" s="44">
        <v>89.315068493150676</v>
      </c>
      <c r="F45" s="44">
        <v>85.753424657534239</v>
      </c>
      <c r="G45" s="44">
        <v>51.780821917808218</v>
      </c>
      <c r="H45" s="44"/>
      <c r="I45" s="44">
        <v>100</v>
      </c>
      <c r="J45" s="44"/>
      <c r="K45" s="44"/>
      <c r="L45" s="44"/>
      <c r="M45" s="44"/>
      <c r="N45" s="44"/>
      <c r="O45" s="44">
        <v>0</v>
      </c>
      <c r="P45" s="44">
        <v>91.506849315068493</v>
      </c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>
      <c r="A46" s="43" t="s">
        <v>75</v>
      </c>
      <c r="B46" s="44"/>
      <c r="C46" s="44"/>
      <c r="D46" s="44">
        <v>99.313501144164732</v>
      </c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>
      <c r="A47" s="43" t="s">
        <v>136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>
        <v>92.602739726027394</v>
      </c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>
      <c r="A48" s="43" t="s">
        <v>125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>
        <v>71.780821917808211</v>
      </c>
      <c r="R48" s="44"/>
      <c r="S48" s="44"/>
      <c r="T48" s="44"/>
      <c r="U48" s="44"/>
      <c r="V48" s="44"/>
      <c r="W48" s="44"/>
      <c r="X48" s="44"/>
      <c r="Y48" s="44">
        <v>48.054919908466815</v>
      </c>
      <c r="Z48" s="44"/>
    </row>
    <row r="49" spans="1:26">
      <c r="A49" s="43" t="s">
        <v>124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>
        <v>86.301369863013704</v>
      </c>
      <c r="V49" s="44">
        <v>98.082191780821915</v>
      </c>
      <c r="W49" s="44">
        <v>97.254004576659042</v>
      </c>
      <c r="X49" s="44"/>
      <c r="Y49" s="44"/>
      <c r="Z49" s="44"/>
    </row>
    <row r="50" spans="1:26">
      <c r="A50" s="43" t="s">
        <v>98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>
        <v>81.235697940503428</v>
      </c>
      <c r="Y50" s="44"/>
      <c r="Z50" s="44"/>
    </row>
    <row r="51" spans="1:26">
      <c r="A51" s="43" t="s">
        <v>181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>
        <v>0</v>
      </c>
    </row>
    <row r="60" spans="1:26">
      <c r="A60" t="s">
        <v>109</v>
      </c>
      <c r="B60" t="s">
        <v>110</v>
      </c>
      <c r="C60" t="s">
        <v>111</v>
      </c>
      <c r="D60" t="s">
        <v>112</v>
      </c>
      <c r="E60" t="s">
        <v>113</v>
      </c>
      <c r="F60" t="s">
        <v>114</v>
      </c>
      <c r="G60" t="s">
        <v>96</v>
      </c>
    </row>
    <row r="61" spans="1:26">
      <c r="A61" t="str">
        <f>A43</f>
        <v>Cardiff Met Gymnastics</v>
      </c>
      <c r="B61">
        <f>IFERROR(IF(LARGE(43:43, 1), LARGE(43:43,1),"n/a"), "")</f>
        <v>99.452054794520535</v>
      </c>
      <c r="C61">
        <f>IFERROR(IF(LARGE(43:43, 2), LARGE(43:43,2),"n/a"), "")</f>
        <v>98.904109589041099</v>
      </c>
      <c r="D61">
        <f>IFERROR(IF(LARGE(43:43, 3), LARGE(43:43,3),"n/a"), "")</f>
        <v>91.232876712328761</v>
      </c>
      <c r="E61">
        <f>IFERROR(IF(LARGE(43:43, 4), LARGE(43:43,4),"n/a"), "")</f>
        <v>90.958904109589042</v>
      </c>
      <c r="F61">
        <f>SUM(B61:E61)</f>
        <v>380.54794520547944</v>
      </c>
      <c r="G61">
        <f t="shared" ref="G61:G68" si="0">RANK(F61, F$61:F$68,0)</f>
        <v>1</v>
      </c>
    </row>
    <row r="62" spans="1:26">
      <c r="A62" t="str">
        <f t="shared" ref="A62:A69" si="1">A44</f>
        <v>Portsmouth</v>
      </c>
      <c r="B62">
        <f t="shared" ref="B62:B69" si="2">IFERROR(IF(LARGE(44:44, 1), LARGE(44:44,1),"n/a"), "")</f>
        <v>100</v>
      </c>
      <c r="C62">
        <f t="shared" ref="C62:C69" si="3">IFERROR(IF(LARGE(44:44, 2), LARGE(44:44,2),"n/a"), "")</f>
        <v>89.041095890410958</v>
      </c>
      <c r="D62">
        <f t="shared" ref="D62:D69" si="4">IFERROR(IF(LARGE(44:44, 3), LARGE(44:44,3),"n/a"), "")</f>
        <v>84.38356164383562</v>
      </c>
      <c r="E62" t="str">
        <f t="shared" ref="E62:E69" si="5">IFERROR(IF(LARGE(44:44, 4), LARGE(44:44,4),"n/a"), "")</f>
        <v/>
      </c>
      <c r="F62">
        <f t="shared" ref="F62:F68" si="6">SUM(B62:E62)</f>
        <v>273.42465753424659</v>
      </c>
      <c r="G62">
        <f t="shared" si="0"/>
        <v>4</v>
      </c>
    </row>
    <row r="63" spans="1:26">
      <c r="A63" t="str">
        <f t="shared" si="1"/>
        <v>UEA Gymnastics Club</v>
      </c>
      <c r="B63">
        <f t="shared" si="2"/>
        <v>100</v>
      </c>
      <c r="C63">
        <f t="shared" si="3"/>
        <v>91.506849315068493</v>
      </c>
      <c r="D63">
        <f t="shared" si="4"/>
        <v>89.315068493150676</v>
      </c>
      <c r="E63">
        <f t="shared" si="5"/>
        <v>85.753424657534239</v>
      </c>
      <c r="F63">
        <f t="shared" si="6"/>
        <v>366.57534246575341</v>
      </c>
      <c r="G63">
        <f t="shared" si="0"/>
        <v>2</v>
      </c>
    </row>
    <row r="64" spans="1:26">
      <c r="A64" t="str">
        <f t="shared" si="1"/>
        <v>University of Birmingham Gymnastics</v>
      </c>
      <c r="B64">
        <f t="shared" si="2"/>
        <v>99.313501144164732</v>
      </c>
      <c r="C64" t="str">
        <f t="shared" si="3"/>
        <v/>
      </c>
      <c r="D64" t="str">
        <f t="shared" si="4"/>
        <v/>
      </c>
      <c r="E64" t="str">
        <f t="shared" si="5"/>
        <v/>
      </c>
      <c r="F64">
        <f t="shared" si="6"/>
        <v>99.313501144164732</v>
      </c>
      <c r="G64">
        <f t="shared" si="0"/>
        <v>6</v>
      </c>
    </row>
    <row r="65" spans="1:7">
      <c r="A65" t="str">
        <f t="shared" si="1"/>
        <v>FXU (falmouth and Exeter)</v>
      </c>
      <c r="B65">
        <f t="shared" si="2"/>
        <v>92.602739726027394</v>
      </c>
      <c r="C65" t="str">
        <f t="shared" si="3"/>
        <v/>
      </c>
      <c r="D65" t="str">
        <f t="shared" si="4"/>
        <v/>
      </c>
      <c r="E65" t="str">
        <f t="shared" si="5"/>
        <v/>
      </c>
      <c r="F65">
        <f t="shared" si="6"/>
        <v>92.602739726027394</v>
      </c>
      <c r="G65">
        <f t="shared" si="0"/>
        <v>7</v>
      </c>
    </row>
    <row r="66" spans="1:7">
      <c r="A66" t="str">
        <f t="shared" si="1"/>
        <v>University of Surrey Gymnastics</v>
      </c>
      <c r="B66">
        <f t="shared" si="2"/>
        <v>71.780821917808211</v>
      </c>
      <c r="C66">
        <f t="shared" si="3"/>
        <v>48.054919908466815</v>
      </c>
      <c r="D66" t="str">
        <f t="shared" si="4"/>
        <v/>
      </c>
      <c r="E66" t="str">
        <f t="shared" si="5"/>
        <v/>
      </c>
      <c r="F66">
        <f t="shared" si="6"/>
        <v>119.83574182627503</v>
      </c>
      <c r="G66">
        <f t="shared" si="0"/>
        <v>5</v>
      </c>
    </row>
    <row r="67" spans="1:7">
      <c r="A67" t="str">
        <f t="shared" si="1"/>
        <v>University of Southampton</v>
      </c>
      <c r="B67">
        <f t="shared" si="2"/>
        <v>98.082191780821915</v>
      </c>
      <c r="C67">
        <f t="shared" si="3"/>
        <v>97.254004576659042</v>
      </c>
      <c r="D67">
        <f t="shared" si="4"/>
        <v>86.301369863013704</v>
      </c>
      <c r="E67" t="str">
        <f t="shared" si="5"/>
        <v/>
      </c>
      <c r="F67">
        <f t="shared" si="6"/>
        <v>281.63756622049465</v>
      </c>
      <c r="G67">
        <f t="shared" si="0"/>
        <v>3</v>
      </c>
    </row>
    <row r="68" spans="1:7">
      <c r="A68" t="str">
        <f t="shared" si="1"/>
        <v>University of London Gymnastics Club</v>
      </c>
      <c r="B68">
        <f t="shared" si="2"/>
        <v>81.235697940503428</v>
      </c>
      <c r="C68" t="str">
        <f t="shared" si="3"/>
        <v/>
      </c>
      <c r="D68" t="str">
        <f t="shared" si="4"/>
        <v/>
      </c>
      <c r="E68" t="str">
        <f t="shared" si="5"/>
        <v/>
      </c>
      <c r="F68">
        <f t="shared" si="6"/>
        <v>81.235697940503428</v>
      </c>
      <c r="G68">
        <f t="shared" si="0"/>
        <v>8</v>
      </c>
    </row>
    <row r="69" spans="1:7">
      <c r="A69" t="str">
        <f t="shared" si="1"/>
        <v>KCL Lions Cheerleading and Gymnastics</v>
      </c>
      <c r="B69" t="str">
        <f t="shared" si="2"/>
        <v>n/a</v>
      </c>
      <c r="C69" t="str">
        <f t="shared" si="3"/>
        <v/>
      </c>
      <c r="D69" t="str">
        <f t="shared" si="4"/>
        <v/>
      </c>
      <c r="E69" t="str">
        <f t="shared" si="5"/>
        <v/>
      </c>
      <c r="F69">
        <f t="shared" ref="F69" si="7">SUM(B69:E69)</f>
        <v>0</v>
      </c>
      <c r="G69" t="e">
        <f t="shared" ref="G69" si="8">RANK(F69, F$61:F$68,0)</f>
        <v>#N/A</v>
      </c>
    </row>
    <row r="71" spans="1:7">
      <c r="A71" t="s">
        <v>109</v>
      </c>
      <c r="B71" t="s">
        <v>115</v>
      </c>
      <c r="C71" t="s">
        <v>116</v>
      </c>
      <c r="D71" t="s">
        <v>117</v>
      </c>
      <c r="E71" t="s">
        <v>118</v>
      </c>
      <c r="F71" t="s">
        <v>114</v>
      </c>
      <c r="G71" t="s">
        <v>96</v>
      </c>
    </row>
    <row r="72" spans="1:7">
      <c r="A72" t="str">
        <f t="shared" ref="A72:A80" si="9">A61</f>
        <v>Cardiff Met Gymnastics</v>
      </c>
      <c r="B72" t="str" cm="1">
        <f t="array" ref="B72">IFERROR(_xlfn.XLOOKUP(1, ($C$2:$C$39 = B61) * ($A$2:$A$39 = $A61), $B$2:$B$39), "")</f>
        <v>Megan Harper</v>
      </c>
      <c r="C72" t="str" cm="1">
        <f t="array" ref="C72">IFERROR(_xlfn.XLOOKUP(1, ($C$2:$C$39 = C61) * ($A$2:$A$39 = $A61), $B$2:$B$39), "")</f>
        <v>Abbie Godsall</v>
      </c>
      <c r="D72" t="str" cm="1">
        <f t="array" ref="D72">IFERROR(_xlfn.XLOOKUP(1, ($C$2:$C$39 = D61) * ($A$2:$A$39 = $A61), $B$2:$B$39), "")</f>
        <v>Diamond Dill</v>
      </c>
      <c r="E72" t="str" cm="1">
        <f t="array" ref="E72">IFERROR(_xlfn.XLOOKUP(1, ($C$2:$C$39 = E61) * ($A$2:$A$39 = $A61), $B$2:$B$39), "")</f>
        <v>Kayleigh Gazmuri-Symmes</v>
      </c>
      <c r="F72">
        <f t="shared" ref="F72:F78" si="10">SUM(B61:E61)</f>
        <v>380.54794520547944</v>
      </c>
      <c r="G72">
        <f>RANK(F72, F$61:F$69,0)</f>
        <v>1</v>
      </c>
    </row>
    <row r="73" spans="1:7">
      <c r="A73" t="str">
        <f t="shared" si="9"/>
        <v>Portsmouth</v>
      </c>
      <c r="B73" t="str" cm="1">
        <f t="array" ref="B73">IFERROR(_xlfn.XLOOKUP(1, ($C$2:$C$39 = B62) * ($A$2:$A$39 = $A62), $B$2:$B$39), "")</f>
        <v>Robbie White</v>
      </c>
      <c r="C73" t="str" cm="1">
        <f t="array" ref="C73">IFERROR(_xlfn.XLOOKUP(1, ($C$2:$C$39 = C62) * ($A$2:$A$39 = $A62), $B$2:$B$39), "")</f>
        <v>Molly Robson</v>
      </c>
      <c r="D73" t="str" cm="1">
        <f t="array" ref="D73">IFERROR(_xlfn.XLOOKUP(1, ($C$2:$C$39 = D62) * ($A$2:$A$39 = $A62), $B$2:$B$39), "")</f>
        <v>Olivia Han</v>
      </c>
      <c r="E73" t="str" cm="1">
        <f t="array" ref="E73">IFERROR(_xlfn.XLOOKUP(1, ($C$2:$C$39 = E62) * ($A$2:$A$39 = $A62), $B$2:$B$39), "")</f>
        <v/>
      </c>
      <c r="F73">
        <f t="shared" si="10"/>
        <v>273.42465753424659</v>
      </c>
      <c r="G73">
        <f t="shared" ref="G73:G80" si="11">RANK(F73, F$61:F$69,0)</f>
        <v>4</v>
      </c>
    </row>
    <row r="74" spans="1:7">
      <c r="A74" t="str">
        <f t="shared" si="9"/>
        <v>UEA Gymnastics Club</v>
      </c>
      <c r="B74" t="str" cm="1">
        <f t="array" ref="B74">IFERROR(_xlfn.XLOOKUP(1, ($C$2:$C$39 = B63) * ($A$2:$A$39 = $A63), $B$2:$B$39), "")</f>
        <v>Lucy Griffiths</v>
      </c>
      <c r="C74" t="str" cm="1">
        <f t="array" ref="C74">IFERROR(_xlfn.XLOOKUP(1, ($C$2:$C$39 = C63) * ($A$2:$A$39 = $A63), $B$2:$B$39), "")</f>
        <v>Lauren Colquhoun</v>
      </c>
      <c r="D74" t="str" cm="1">
        <f t="array" ref="D74">IFERROR(_xlfn.XLOOKUP(1, ($C$2:$C$39 = D63) * ($A$2:$A$39 = $A63), $B$2:$B$39), "")</f>
        <v>Elizabeth Payne</v>
      </c>
      <c r="E74" t="str" cm="1">
        <f t="array" ref="E74">IFERROR(_xlfn.XLOOKUP(1, ($C$2:$C$39 = E63) * ($A$2:$A$39 = $A63), $B$2:$B$39), "")</f>
        <v>Eve Linfoot</v>
      </c>
      <c r="F74">
        <f t="shared" si="10"/>
        <v>366.57534246575341</v>
      </c>
      <c r="G74">
        <f t="shared" si="11"/>
        <v>2</v>
      </c>
    </row>
    <row r="75" spans="1:7">
      <c r="A75" t="str">
        <f t="shared" si="9"/>
        <v>University of Birmingham Gymnastics</v>
      </c>
      <c r="B75" t="str" cm="1">
        <f t="array" ref="B75">IFERROR(_xlfn.XLOOKUP(1, ($C$2:$C$39 = B64) * ($A$2:$A$39 = $A64), $B$2:$B$39), "")</f>
        <v>Archie Belfield</v>
      </c>
      <c r="C75" t="str" cm="1">
        <f t="array" ref="C75">IFERROR(_xlfn.XLOOKUP(1, ($C$2:$C$39 = C64) * ($A$2:$A$39 = $A64), $B$2:$B$39), "")</f>
        <v/>
      </c>
      <c r="D75" t="str" cm="1">
        <f t="array" ref="D75">IFERROR(_xlfn.XLOOKUP(1, ($C$2:$C$39 = D64) * ($A$2:$A$39 = $A64), $B$2:$B$39), "")</f>
        <v/>
      </c>
      <c r="E75" t="str" cm="1">
        <f t="array" ref="E75">IFERROR(_xlfn.XLOOKUP(1, ($C$2:$C$39 = E64) * ($A$2:$A$39 = $A64), $B$2:$B$39), "")</f>
        <v/>
      </c>
      <c r="F75">
        <f t="shared" si="10"/>
        <v>99.313501144164732</v>
      </c>
      <c r="G75">
        <f t="shared" si="11"/>
        <v>6</v>
      </c>
    </row>
    <row r="76" spans="1:7">
      <c r="A76" t="str">
        <f t="shared" si="9"/>
        <v>FXU (falmouth and Exeter)</v>
      </c>
      <c r="B76" t="str" cm="1">
        <f t="array" ref="B76">IFERROR(_xlfn.XLOOKUP(1, ($C$2:$C$39 = B65) * ($A$2:$A$39 = $A65), $B$2:$B$39), "")</f>
        <v>Lizzy Quigley</v>
      </c>
      <c r="C76" t="str" cm="1">
        <f t="array" ref="C76">IFERROR(_xlfn.XLOOKUP(1, ($C$2:$C$39 = C65) * ($A$2:$A$39 = $A65), $B$2:$B$39), "")</f>
        <v/>
      </c>
      <c r="D76" t="str" cm="1">
        <f t="array" ref="D76">IFERROR(_xlfn.XLOOKUP(1, ($C$2:$C$39 = D65) * ($A$2:$A$39 = $A65), $B$2:$B$39), "")</f>
        <v/>
      </c>
      <c r="E76" t="str" cm="1">
        <f t="array" ref="E76">IFERROR(_xlfn.XLOOKUP(1, ($C$2:$C$39 = E65) * ($A$2:$A$39 = $A65), $B$2:$B$39), "")</f>
        <v/>
      </c>
      <c r="F76">
        <f t="shared" si="10"/>
        <v>92.602739726027394</v>
      </c>
      <c r="G76">
        <f t="shared" si="11"/>
        <v>7</v>
      </c>
    </row>
    <row r="77" spans="1:7">
      <c r="A77" t="str">
        <f t="shared" si="9"/>
        <v>University of Surrey Gymnastics</v>
      </c>
      <c r="B77" t="str" cm="1">
        <f t="array" ref="B77">IFERROR(_xlfn.XLOOKUP(1, ($C$2:$C$39 = B66) * ($A$2:$A$39 = $A66), $B$2:$B$39), "")</f>
        <v>Jess Fyvie</v>
      </c>
      <c r="C77" t="str" cm="1">
        <f t="array" ref="C77">IFERROR(_xlfn.XLOOKUP(1, ($C$2:$C$39 = C66) * ($A$2:$A$39 = $A66), $B$2:$B$39), "")</f>
        <v>Pavalan Mootoosamy</v>
      </c>
      <c r="D77" t="str" cm="1">
        <f t="array" ref="D77">IFERROR(_xlfn.XLOOKUP(1, ($C$2:$C$39 = D66) * ($A$2:$A$39 = $A66), $B$2:$B$39), "")</f>
        <v/>
      </c>
      <c r="E77" t="str" cm="1">
        <f t="array" ref="E77">IFERROR(_xlfn.XLOOKUP(1, ($C$2:$C$39 = E66) * ($A$2:$A$39 = $A66), $B$2:$B$39), "")</f>
        <v/>
      </c>
      <c r="F77">
        <f t="shared" si="10"/>
        <v>119.83574182627503</v>
      </c>
      <c r="G77">
        <f t="shared" si="11"/>
        <v>5</v>
      </c>
    </row>
    <row r="78" spans="1:7">
      <c r="A78" t="str">
        <f t="shared" si="9"/>
        <v>University of Southampton</v>
      </c>
      <c r="B78" t="str" cm="1">
        <f t="array" ref="B78">IFERROR(_xlfn.XLOOKUP(1, ($C$2:$C$39 = B67) * ($A$2:$A$39 = $A67), $B$2:$B$39), "")</f>
        <v>Karley Moreton</v>
      </c>
      <c r="C78" t="str" cm="1">
        <f t="array" ref="C78">IFERROR(_xlfn.XLOOKUP(1, ($C$2:$C$39 = C67) * ($A$2:$A$39 = $A67), $B$2:$B$39), "")</f>
        <v>Will Evans</v>
      </c>
      <c r="D78" t="str" cm="1">
        <f t="array" ref="D78">IFERROR(_xlfn.XLOOKUP(1, ($C$2:$C$39 = D67) * ($A$2:$A$39 = $A67), $B$2:$B$39), "")</f>
        <v>Leah White</v>
      </c>
      <c r="E78" t="str" cm="1">
        <f t="array" ref="E78">IFERROR(_xlfn.XLOOKUP(1, ($C$2:$C$39 = E67) * ($A$2:$A$39 = $A67), $B$2:$B$39), "")</f>
        <v/>
      </c>
      <c r="F78">
        <f t="shared" si="10"/>
        <v>281.63756622049465</v>
      </c>
      <c r="G78">
        <f t="shared" si="11"/>
        <v>3</v>
      </c>
    </row>
    <row r="79" spans="1:7">
      <c r="A79" t="str">
        <f t="shared" si="9"/>
        <v>University of London Gymnastics Club</v>
      </c>
      <c r="B79" t="str" cm="1">
        <f t="array" ref="B79">IFERROR(_xlfn.XLOOKUP(1, ($C$2:$C$39 = B68) * ($A$2:$A$39 = $A68), $B$2:$B$39), "")</f>
        <v>Suryava Bhattacharya</v>
      </c>
      <c r="C79" t="str" cm="1">
        <f t="array" ref="C79">IFERROR(_xlfn.XLOOKUP(1, ($C$2:$C$39 = C68) * ($A$2:$A$39 = $A68), $B$2:$B$39), "")</f>
        <v/>
      </c>
      <c r="D79" t="str" cm="1">
        <f t="array" ref="D79">IFERROR(_xlfn.XLOOKUP(1, ($C$2:$C$39 = D68) * ($A$2:$A$39 = $A68), $B$2:$B$39), "")</f>
        <v/>
      </c>
      <c r="E79" t="str" cm="1">
        <f t="array" ref="E79">IFERROR(_xlfn.XLOOKUP(1, ($C$2:$C$39 = E68) * ($A$2:$A$39 = $A68), $B$2:$B$39), "")</f>
        <v/>
      </c>
      <c r="F79">
        <f t="shared" ref="F79:F80" si="12">SUM(B68:E68)</f>
        <v>81.235697940503428</v>
      </c>
      <c r="G79">
        <f t="shared" si="11"/>
        <v>8</v>
      </c>
    </row>
    <row r="80" spans="1:7">
      <c r="A80" t="str">
        <f t="shared" si="9"/>
        <v>KCL Lions Cheerleading and Gymnastics</v>
      </c>
      <c r="B80" t="str" cm="1">
        <f t="array" ref="B80">IFERROR(_xlfn.XLOOKUP(1, ($C$2:$C$39 = B69) * ($A$2:$A$39 = $A69), $B$2:$B$39), "")</f>
        <v/>
      </c>
      <c r="C80" t="str" cm="1">
        <f t="array" ref="C80">IFERROR(_xlfn.XLOOKUP(1, ($C$2:$C$39 = C69) * ($A$2:$A$39 = $A69), $B$2:$B$39), "")</f>
        <v/>
      </c>
      <c r="D80" t="str" cm="1">
        <f t="array" ref="D80">IFERROR(_xlfn.XLOOKUP(1, ($C$2:$C$39 = D69) * ($A$2:$A$39 = $A69), $B$2:$B$39), "")</f>
        <v/>
      </c>
      <c r="E80" t="str" cm="1">
        <f t="array" ref="E80">IFERROR(_xlfn.XLOOKUP(1, ($C$2:$C$39 = E69) * ($A$2:$A$39 = $A69), $B$2:$B$39), "")</f>
        <v/>
      </c>
      <c r="F80">
        <f t="shared" si="12"/>
        <v>0</v>
      </c>
      <c r="G80">
        <f t="shared" si="11"/>
        <v>9</v>
      </c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69349-C422-4E4F-9642-3FAECE6FB485}">
  <dimension ref="A1:AF73"/>
  <sheetViews>
    <sheetView zoomScale="55" zoomScaleNormal="55" workbookViewId="0">
      <selection activeCell="J2" sqref="J2"/>
    </sheetView>
  </sheetViews>
  <sheetFormatPr defaultColWidth="8.83203125" defaultRowHeight="15.5"/>
  <cols>
    <col min="1" max="1" width="38.25" bestFit="1" customWidth="1"/>
    <col min="2" max="2" width="22.83203125" bestFit="1" customWidth="1"/>
    <col min="3" max="3" width="21.5" bestFit="1" customWidth="1"/>
    <col min="4" max="4" width="17.83203125" bestFit="1" customWidth="1"/>
    <col min="5" max="5" width="17.08203125" bestFit="1" customWidth="1"/>
    <col min="6" max="6" width="18.5" bestFit="1" customWidth="1"/>
    <col min="7" max="7" width="16.75" bestFit="1" customWidth="1"/>
    <col min="8" max="8" width="13.75" bestFit="1" customWidth="1"/>
    <col min="9" max="9" width="19.58203125" bestFit="1" customWidth="1"/>
    <col min="10" max="10" width="16.5" bestFit="1" customWidth="1"/>
    <col min="11" max="11" width="21.25" bestFit="1" customWidth="1"/>
    <col min="12" max="12" width="17.33203125" bestFit="1" customWidth="1"/>
    <col min="13" max="13" width="16.75" bestFit="1" customWidth="1"/>
    <col min="14" max="14" width="19.83203125" bestFit="1" customWidth="1"/>
    <col min="15" max="15" width="14.83203125" bestFit="1" customWidth="1"/>
    <col min="16" max="16" width="16" bestFit="1" customWidth="1"/>
    <col min="17" max="17" width="21" bestFit="1" customWidth="1"/>
    <col min="18" max="18" width="18.25" bestFit="1" customWidth="1"/>
    <col min="19" max="19" width="18.75" bestFit="1" customWidth="1"/>
    <col min="20" max="20" width="23.5" bestFit="1" customWidth="1"/>
    <col min="21" max="21" width="14" bestFit="1" customWidth="1"/>
    <col min="22" max="22" width="23.5" bestFit="1" customWidth="1"/>
    <col min="23" max="23" width="17.08203125" bestFit="1" customWidth="1"/>
    <col min="24" max="24" width="19" bestFit="1" customWidth="1"/>
    <col min="25" max="25" width="17.08203125" bestFit="1" customWidth="1"/>
    <col min="26" max="26" width="15.58203125" bestFit="1" customWidth="1"/>
    <col min="27" max="27" width="19.25" bestFit="1" customWidth="1"/>
    <col min="28" max="28" width="17.08203125" bestFit="1" customWidth="1"/>
    <col min="29" max="29" width="14.58203125" bestFit="1" customWidth="1"/>
    <col min="30" max="30" width="16.75" bestFit="1" customWidth="1"/>
    <col min="31" max="31" width="12.33203125" bestFit="1" customWidth="1"/>
    <col min="32" max="32" width="19.5" bestFit="1" customWidth="1"/>
    <col min="33" max="33" width="11.83203125" bestFit="1" customWidth="1"/>
    <col min="34" max="34" width="13.5" bestFit="1" customWidth="1"/>
    <col min="35" max="35" width="11.83203125" bestFit="1" customWidth="1"/>
    <col min="36" max="36" width="13.33203125" bestFit="1" customWidth="1"/>
    <col min="37" max="37" width="13" bestFit="1" customWidth="1"/>
    <col min="38" max="38" width="12.5" bestFit="1" customWidth="1"/>
    <col min="39" max="39" width="17" bestFit="1" customWidth="1"/>
    <col min="40" max="40" width="12.33203125" bestFit="1" customWidth="1"/>
    <col min="41" max="41" width="11.83203125" bestFit="1" customWidth="1"/>
    <col min="42" max="42" width="12.08203125" bestFit="1" customWidth="1"/>
    <col min="43" max="43" width="12" bestFit="1" customWidth="1"/>
    <col min="44" max="44" width="14.08203125" bestFit="1" customWidth="1"/>
    <col min="45" max="45" width="12.58203125" bestFit="1" customWidth="1"/>
    <col min="46" max="46" width="14.58203125" bestFit="1" customWidth="1"/>
    <col min="47" max="49" width="11.83203125" bestFit="1" customWidth="1"/>
    <col min="50" max="50" width="14.58203125" bestFit="1" customWidth="1"/>
    <col min="51" max="51" width="13.5" bestFit="1" customWidth="1"/>
    <col min="52" max="52" width="15" bestFit="1" customWidth="1"/>
    <col min="53" max="53" width="10.08203125" bestFit="1" customWidth="1"/>
    <col min="54" max="54" width="12.58203125" bestFit="1" customWidth="1"/>
    <col min="55" max="55" width="14.83203125" bestFit="1" customWidth="1"/>
    <col min="56" max="56" width="20" bestFit="1" customWidth="1"/>
    <col min="57" max="57" width="12.5" bestFit="1" customWidth="1"/>
    <col min="58" max="58" width="11.83203125" bestFit="1" customWidth="1"/>
    <col min="59" max="59" width="19.5" bestFit="1" customWidth="1"/>
    <col min="60" max="60" width="11.58203125" bestFit="1" customWidth="1"/>
    <col min="61" max="62" width="11.83203125" bestFit="1" customWidth="1"/>
  </cols>
  <sheetData>
    <row r="1" spans="1:3">
      <c r="A1" t="str" cm="1">
        <f t="array" ref="A1:A20">'Intermediate Women'!A1:A20</f>
        <v>University / Institution</v>
      </c>
      <c r="B1" t="str" cm="1">
        <f t="array" ref="B1:B20">'Intermediate Women'!C1:C20</f>
        <v>Name</v>
      </c>
      <c r="C1" s="3" t="s">
        <v>48</v>
      </c>
    </row>
    <row r="2" spans="1:3">
      <c r="A2" t="str">
        <v>Aberdeen University Gymnastics Club</v>
      </c>
      <c r="B2" t="str">
        <v>Megan Allan</v>
      </c>
      <c r="C2">
        <f>IF('Intermediate Women'!AC2, 'Intermediate Women'!AC2, "nil")</f>
        <v>100</v>
      </c>
    </row>
    <row r="3" spans="1:3">
      <c r="A3" t="str">
        <v>University of Southampton</v>
      </c>
      <c r="B3" t="str">
        <v>Natalie Mak</v>
      </c>
      <c r="C3">
        <f>IF('Intermediate Women'!AC3, 'Intermediate Women'!AC3, "nil")</f>
        <v>100</v>
      </c>
    </row>
    <row r="4" spans="1:3">
      <c r="A4" t="str">
        <v>University of London Gymnastics Club</v>
      </c>
      <c r="B4" t="str">
        <v>Juliette Sens</v>
      </c>
      <c r="C4">
        <f>IF('Intermediate Women'!AC4, 'Intermediate Women'!AC4, "nil")</f>
        <v>99.38271604938268</v>
      </c>
    </row>
    <row r="5" spans="1:3">
      <c r="A5" t="str">
        <v>Portsmouth</v>
      </c>
      <c r="B5" t="str">
        <v>Sara Storrow</v>
      </c>
      <c r="C5">
        <f>IF('Intermediate Women'!AC5, 'Intermediate Women'!AC5, "nil")</f>
        <v>98.919753086419746</v>
      </c>
    </row>
    <row r="6" spans="1:3">
      <c r="A6" t="str">
        <v>Portsmouth</v>
      </c>
      <c r="B6" t="str">
        <v>Jessica Craze</v>
      </c>
      <c r="C6">
        <f>IF('Intermediate Women'!AC6, 'Intermediate Women'!AC6, "nil")</f>
        <v>98.302469135802468</v>
      </c>
    </row>
    <row r="7" spans="1:3">
      <c r="A7" t="str">
        <v>Cardiff Met Gymnastics</v>
      </c>
      <c r="B7" t="str">
        <v>Glesni Powell</v>
      </c>
      <c r="C7">
        <f>IF('Intermediate Women'!AC7, 'Intermediate Women'!AC7, "nil")</f>
        <v>97.222222222222214</v>
      </c>
    </row>
    <row r="8" spans="1:3">
      <c r="A8" t="str">
        <v>FXU (falmouth and Exeter)</v>
      </c>
      <c r="B8" t="str">
        <v>Emily Day</v>
      </c>
      <c r="C8">
        <f>IF('Intermediate Women'!AC8, 'Intermediate Women'!AC8, "nil")</f>
        <v>94.135802469135783</v>
      </c>
    </row>
    <row r="9" spans="1:3">
      <c r="A9" t="str">
        <v>FXU (falmouth and Exeter)</v>
      </c>
      <c r="B9" t="str">
        <v>Charlotte Stafford</v>
      </c>
      <c r="C9">
        <f>IF('Intermediate Women'!AC9, 'Intermediate Women'!AC9, "nil")</f>
        <v>92.438271604938251</v>
      </c>
    </row>
    <row r="10" spans="1:3">
      <c r="A10" t="str">
        <v>Portsmouth</v>
      </c>
      <c r="B10" t="str">
        <v>Julia Skrzypon</v>
      </c>
      <c r="C10">
        <f>IF('Intermediate Women'!AC10, 'Intermediate Women'!AC10, "nil")</f>
        <v>92.129629629629619</v>
      </c>
    </row>
    <row r="11" spans="1:3">
      <c r="A11" t="str">
        <v>University of Southampton</v>
      </c>
      <c r="B11" t="str">
        <v>Niamh Sergent</v>
      </c>
      <c r="C11">
        <f>IF('Intermediate Women'!AC11, 'Intermediate Women'!AC11, "nil")</f>
        <v>90.740740740740733</v>
      </c>
    </row>
    <row r="12" spans="1:3">
      <c r="A12" t="str">
        <v>UEA Gymnastics Club</v>
      </c>
      <c r="B12" t="str">
        <v>Mollie Smith</v>
      </c>
      <c r="C12">
        <f>IF('Intermediate Women'!AC12, 'Intermediate Women'!AC12, "nil")</f>
        <v>89.351851851851848</v>
      </c>
    </row>
    <row r="13" spans="1:3">
      <c r="A13" t="str">
        <v>University of Southampton</v>
      </c>
      <c r="B13" t="str">
        <v>Jessica Robins</v>
      </c>
      <c r="C13">
        <f>IF('Intermediate Women'!AC13, 'Intermediate Women'!AC13, "nil")</f>
        <v>86.728395061728378</v>
      </c>
    </row>
    <row r="14" spans="1:3">
      <c r="A14" t="str">
        <v>Portsmouth</v>
      </c>
      <c r="B14" t="str">
        <v>Justina Semenaite</v>
      </c>
      <c r="C14">
        <f>IF('Intermediate Women'!AC14, 'Intermediate Women'!AC14, "nil")</f>
        <v>86.26543209876543</v>
      </c>
    </row>
    <row r="15" spans="1:3">
      <c r="A15" t="str">
        <v>University of Southampton</v>
      </c>
      <c r="B15" t="str">
        <v>Finola Monahan</v>
      </c>
      <c r="C15">
        <f>IF('Intermediate Women'!AC15, 'Intermediate Women'!AC15, "nil")</f>
        <v>70.679012345678998</v>
      </c>
    </row>
    <row r="16" spans="1:3">
      <c r="A16" t="str">
        <v>Cardiff Met Gymnastics</v>
      </c>
      <c r="B16" t="str">
        <v>Seren Richards</v>
      </c>
      <c r="C16">
        <f>IF('Intermediate Women'!AC16, 'Intermediate Women'!AC16, "nil")</f>
        <v>69.444444444444429</v>
      </c>
    </row>
    <row r="17" spans="1:3">
      <c r="A17" t="str">
        <v>UEA Gymnastics Club</v>
      </c>
      <c r="B17" t="str">
        <v>Abbie Stubbs</v>
      </c>
      <c r="C17">
        <f>IF('Intermediate Women'!AC17, 'Intermediate Women'!AC17, "nil")</f>
        <v>66.666666666666657</v>
      </c>
    </row>
    <row r="18" spans="1:3">
      <c r="A18" t="str">
        <v>Cardiff Met Gymnastics</v>
      </c>
      <c r="B18" t="str">
        <v>Maddie Boyce</v>
      </c>
      <c r="C18">
        <f>IF('Intermediate Women'!AC18, 'Intermediate Women'!AC18, "nil")</f>
        <v>54.012345679012341</v>
      </c>
    </row>
    <row r="19" spans="1:3">
      <c r="A19" t="str">
        <v>University of Surrey Gymnastics</v>
      </c>
      <c r="B19" t="str">
        <v>Hannah Edwards</v>
      </c>
      <c r="C19">
        <f>IF('Intermediate Women'!AC19, 'Intermediate Women'!AC19, "nil")</f>
        <v>37.499999999999993</v>
      </c>
    </row>
    <row r="20" spans="1:3">
      <c r="A20" t="str">
        <v>University of Southampton</v>
      </c>
      <c r="B20" t="str">
        <v>Zoe Lavers</v>
      </c>
      <c r="C20">
        <f>IF('Intermediate Women'!AC20, 'Intermediate Women'!AC20, "nil")</f>
        <v>31.172839506172835</v>
      </c>
    </row>
    <row r="21" spans="1:3">
      <c r="A21" t="str" cm="1">
        <f t="array" ref="A21:A32">'Intermediate Men'!A2:A13</f>
        <v>Cardiff Met Gymnastics</v>
      </c>
      <c r="B21" t="str" cm="1">
        <f t="array" ref="B21:B32">'Intermediate Men'!C2:C13</f>
        <v>Rob Scott</v>
      </c>
      <c r="C21">
        <f>IF('Intermediate Men'!AC2, 'Intermediate Men'!AC2, "nil")</f>
        <v>100</v>
      </c>
    </row>
    <row r="22" spans="1:3">
      <c r="A22" t="str">
        <v>Portsmouth</v>
      </c>
      <c r="B22" t="str">
        <v>Brandon Sinclair</v>
      </c>
      <c r="C22">
        <f>IF('Intermediate Men'!AC3, 'Intermediate Men'!AC3, "nil")</f>
        <v>94.761171032357467</v>
      </c>
    </row>
    <row r="23" spans="1:3">
      <c r="A23" t="str">
        <v>Aberdeen University Gymnastics Club</v>
      </c>
      <c r="B23" t="str">
        <v>Rémi Théron</v>
      </c>
      <c r="C23">
        <f>IF('Intermediate Men'!AC4, 'Intermediate Men'!AC4, "nil")</f>
        <v>91.987673343605536</v>
      </c>
    </row>
    <row r="24" spans="1:3">
      <c r="A24" t="str">
        <v>University of Southampton</v>
      </c>
      <c r="B24" t="str">
        <v>Daniel Poller</v>
      </c>
      <c r="C24">
        <f>IF('Intermediate Men'!AC5, 'Intermediate Men'!AC5, "nil")</f>
        <v>88.289676425269647</v>
      </c>
    </row>
    <row r="25" spans="1:3">
      <c r="A25" t="str">
        <v>University of Southampton</v>
      </c>
      <c r="B25" t="str">
        <v>Ethan Betty</v>
      </c>
      <c r="C25">
        <f>IF('Intermediate Men'!AC6, 'Intermediate Men'!AC6, "nil")</f>
        <v>81.972265023112485</v>
      </c>
    </row>
    <row r="26" spans="1:3">
      <c r="A26" t="str">
        <v>Portsmouth</v>
      </c>
      <c r="B26" t="str">
        <v>Jonny Gilbey</v>
      </c>
      <c r="C26">
        <f>IF('Intermediate Men'!AC7, 'Intermediate Men'!AC7, "nil")</f>
        <v>79.352850539291211</v>
      </c>
    </row>
    <row r="27" spans="1:3">
      <c r="A27" t="str">
        <v>University of Southampton</v>
      </c>
      <c r="B27" t="str">
        <v>Chester Camm</v>
      </c>
      <c r="C27">
        <f>IF('Intermediate Men'!AC8, 'Intermediate Men'!AC8, "nil")</f>
        <v>78.736517719568567</v>
      </c>
    </row>
    <row r="28" spans="1:3">
      <c r="A28" t="str">
        <v>Portsmouth</v>
      </c>
      <c r="B28" t="str">
        <v>Oliver Dale</v>
      </c>
      <c r="C28">
        <f>IF('Intermediate Men'!AC9, 'Intermediate Men'!AC9, "nil")</f>
        <v>75.654853620955294</v>
      </c>
    </row>
    <row r="29" spans="1:3">
      <c r="A29" t="str">
        <v>University of Surrey Gymnastics</v>
      </c>
      <c r="B29" t="str">
        <v>Aymen Alshawi</v>
      </c>
      <c r="C29">
        <f>IF('Intermediate Men'!AC10, 'Intermediate Men'!AC10, "nil")</f>
        <v>59.938366718027737</v>
      </c>
    </row>
    <row r="30" spans="1:3">
      <c r="A30" t="str">
        <v>UEA Gymnastics Club</v>
      </c>
      <c r="B30" t="str">
        <v>Adam Staggs</v>
      </c>
      <c r="C30">
        <f>IF('Intermediate Men'!AC11, 'Intermediate Men'!AC11, "nil")</f>
        <v>52.850539291217245</v>
      </c>
    </row>
    <row r="31" spans="1:3">
      <c r="A31" t="str">
        <v>University of Southampton</v>
      </c>
      <c r="B31" t="str">
        <v>James Hearn</v>
      </c>
      <c r="C31">
        <f>IF('Intermediate Men'!AC12, 'Intermediate Men'!AC12, "nil")</f>
        <v>24.499229583975342</v>
      </c>
    </row>
    <row r="32" spans="1:3">
      <c r="A32" t="str">
        <v>University of Surrey Gymnastics</v>
      </c>
      <c r="B32" t="str">
        <v>Vinh Lam</v>
      </c>
      <c r="C32" t="str">
        <f>IF('Intermediate Men'!AC13, 'Intermediate Men'!AC13, "nil")</f>
        <v>nil</v>
      </c>
    </row>
    <row r="34" spans="1:32">
      <c r="A34" s="42" t="s">
        <v>106</v>
      </c>
      <c r="B34" s="42" t="s">
        <v>108</v>
      </c>
    </row>
    <row r="35" spans="1:32">
      <c r="A35" s="42" t="s">
        <v>105</v>
      </c>
      <c r="B35" t="s">
        <v>79</v>
      </c>
      <c r="C35" t="s">
        <v>78</v>
      </c>
      <c r="D35" t="s">
        <v>93</v>
      </c>
      <c r="E35" t="s">
        <v>101</v>
      </c>
      <c r="F35" t="s">
        <v>100</v>
      </c>
      <c r="G35" t="s">
        <v>76</v>
      </c>
      <c r="H35" t="s">
        <v>77</v>
      </c>
      <c r="I35" t="s">
        <v>92</v>
      </c>
      <c r="J35" t="s">
        <v>151</v>
      </c>
      <c r="K35" t="s">
        <v>152</v>
      </c>
      <c r="L35" t="s">
        <v>153</v>
      </c>
      <c r="M35" t="s">
        <v>154</v>
      </c>
      <c r="N35" t="s">
        <v>155</v>
      </c>
      <c r="O35" t="s">
        <v>156</v>
      </c>
      <c r="P35" t="s">
        <v>157</v>
      </c>
      <c r="Q35" t="s">
        <v>158</v>
      </c>
      <c r="R35" t="s">
        <v>159</v>
      </c>
      <c r="S35" t="s">
        <v>160</v>
      </c>
      <c r="T35" t="s">
        <v>161</v>
      </c>
      <c r="U35" t="s">
        <v>162</v>
      </c>
      <c r="V35" t="s">
        <v>163</v>
      </c>
      <c r="W35" t="s">
        <v>164</v>
      </c>
      <c r="X35" t="s">
        <v>165</v>
      </c>
      <c r="Y35" t="s">
        <v>128</v>
      </c>
      <c r="Z35" t="s">
        <v>129</v>
      </c>
      <c r="AA35" t="s">
        <v>130</v>
      </c>
      <c r="AB35" t="s">
        <v>131</v>
      </c>
      <c r="AC35" t="s">
        <v>132</v>
      </c>
      <c r="AD35" t="s">
        <v>133</v>
      </c>
      <c r="AE35" t="s">
        <v>134</v>
      </c>
      <c r="AF35" t="s">
        <v>135</v>
      </c>
    </row>
    <row r="36" spans="1:32">
      <c r="A36" s="43" t="s">
        <v>71</v>
      </c>
      <c r="B36" s="44"/>
      <c r="C36" s="44"/>
      <c r="D36" s="44"/>
      <c r="E36" s="44"/>
      <c r="F36" s="44"/>
      <c r="G36" s="44">
        <v>91.987673343605536</v>
      </c>
      <c r="H36" s="44"/>
      <c r="I36" s="44"/>
      <c r="J36" s="44">
        <v>100</v>
      </c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</row>
    <row r="37" spans="1:32">
      <c r="A37" s="43" t="s">
        <v>73</v>
      </c>
      <c r="B37" s="44"/>
      <c r="C37" s="44"/>
      <c r="D37" s="44">
        <v>97.222222222222214</v>
      </c>
      <c r="E37" s="44"/>
      <c r="F37" s="44">
        <v>54.012345679012341</v>
      </c>
      <c r="G37" s="44"/>
      <c r="H37" s="44">
        <v>100</v>
      </c>
      <c r="I37" s="44">
        <v>69.444444444444429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</row>
    <row r="38" spans="1:32">
      <c r="A38" s="43" t="s">
        <v>69</v>
      </c>
      <c r="B38" s="44"/>
      <c r="C38" s="44">
        <v>94.761171032357467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>
        <v>98.302469135802468</v>
      </c>
      <c r="S38" s="44">
        <v>92.129629629629619</v>
      </c>
      <c r="T38" s="44"/>
      <c r="U38" s="44"/>
      <c r="V38" s="44">
        <v>86.26543209876543</v>
      </c>
      <c r="W38" s="44">
        <v>98.919753086419746</v>
      </c>
      <c r="X38" s="44"/>
      <c r="Y38" s="44"/>
      <c r="Z38" s="44"/>
      <c r="AA38" s="44"/>
      <c r="AB38" s="44"/>
      <c r="AC38" s="44">
        <v>75.654853620955294</v>
      </c>
      <c r="AD38" s="44">
        <v>79.352850539291211</v>
      </c>
      <c r="AE38" s="44"/>
      <c r="AF38" s="44"/>
    </row>
    <row r="39" spans="1:32">
      <c r="A39" s="43" t="s">
        <v>74</v>
      </c>
      <c r="B39" s="44">
        <v>52.850539291217245</v>
      </c>
      <c r="C39" s="44"/>
      <c r="D39" s="44"/>
      <c r="E39" s="44"/>
      <c r="F39" s="44"/>
      <c r="G39" s="44"/>
      <c r="H39" s="44"/>
      <c r="I39" s="44"/>
      <c r="J39" s="44"/>
      <c r="K39" s="44"/>
      <c r="L39" s="44">
        <v>66.666666666666657</v>
      </c>
      <c r="M39" s="44">
        <v>89.351851851851848</v>
      </c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</row>
    <row r="40" spans="1:32">
      <c r="A40" s="43" t="s">
        <v>98</v>
      </c>
      <c r="B40" s="44"/>
      <c r="C40" s="44"/>
      <c r="D40" s="44"/>
      <c r="E40" s="44">
        <v>99.38271604938268</v>
      </c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1:32">
      <c r="A41" s="43" t="s">
        <v>125</v>
      </c>
      <c r="B41" s="44"/>
      <c r="C41" s="44"/>
      <c r="D41" s="44"/>
      <c r="E41" s="44"/>
      <c r="F41" s="44"/>
      <c r="G41" s="44"/>
      <c r="H41" s="44"/>
      <c r="I41" s="44"/>
      <c r="J41" s="44"/>
      <c r="K41" s="44">
        <v>37.499999999999993</v>
      </c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>
        <v>0</v>
      </c>
      <c r="AF41" s="44">
        <v>59.938366718027737</v>
      </c>
    </row>
    <row r="42" spans="1:32">
      <c r="A42" s="43" t="s">
        <v>124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>
        <v>86.728395061728378</v>
      </c>
      <c r="O42" s="44">
        <v>31.172839506172835</v>
      </c>
      <c r="P42" s="44">
        <v>100</v>
      </c>
      <c r="Q42" s="44">
        <v>70.679012345678998</v>
      </c>
      <c r="R42" s="44"/>
      <c r="S42" s="44"/>
      <c r="T42" s="44"/>
      <c r="U42" s="44"/>
      <c r="V42" s="44"/>
      <c r="W42" s="44"/>
      <c r="X42" s="44">
        <v>90.740740740740733</v>
      </c>
      <c r="Y42" s="44">
        <v>88.289676425269647</v>
      </c>
      <c r="Z42" s="44">
        <v>81.972265023112485</v>
      </c>
      <c r="AA42" s="44">
        <v>78.736517719568567</v>
      </c>
      <c r="AB42" s="44">
        <v>24.499229583975342</v>
      </c>
      <c r="AC42" s="44"/>
      <c r="AD42" s="44"/>
      <c r="AE42" s="44"/>
      <c r="AF42" s="44"/>
    </row>
    <row r="43" spans="1:32">
      <c r="A43" s="43" t="s">
        <v>136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>
        <v>92.438271604938251</v>
      </c>
      <c r="U43" s="44">
        <v>94.135802469135783</v>
      </c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</row>
    <row r="54" spans="1:7">
      <c r="A54" s="43" t="s">
        <v>109</v>
      </c>
      <c r="B54" t="s">
        <v>110</v>
      </c>
      <c r="C54" t="s">
        <v>111</v>
      </c>
      <c r="D54" t="s">
        <v>112</v>
      </c>
      <c r="E54" t="s">
        <v>113</v>
      </c>
      <c r="F54" t="s">
        <v>120</v>
      </c>
      <c r="G54" t="s">
        <v>121</v>
      </c>
    </row>
    <row r="55" spans="1:7">
      <c r="A55" t="str">
        <f>A36</f>
        <v>Aberdeen University Gymnastics Club</v>
      </c>
      <c r="B55">
        <f>IFERROR(IF(LARGE(36:36, 1), LARGE(36:36,1),"n/a"), "")</f>
        <v>100</v>
      </c>
      <c r="C55">
        <f>IFERROR(IF(LARGE(36:36, 2), LARGE(36:36,2),"n/a"), "")</f>
        <v>91.987673343605536</v>
      </c>
      <c r="D55" t="str">
        <f>IFERROR(IF(LARGE(36:36, 3), LARGE(36:36,3),"n/a"), "")</f>
        <v/>
      </c>
      <c r="E55" t="str">
        <f>IFERROR(IF(LARGE(36:36, 4), LARGE(36:36,4),"n/a"), "")</f>
        <v/>
      </c>
      <c r="F55">
        <f>SUM(B55:E55)</f>
        <v>191.98767334360554</v>
      </c>
      <c r="G55">
        <f t="shared" ref="G55:G62" si="0">RANK(F55, F$55:F$62,0)</f>
        <v>5</v>
      </c>
    </row>
    <row r="56" spans="1:7">
      <c r="A56" t="str">
        <f t="shared" ref="A56:A62" si="1">A37</f>
        <v>Cardiff Met Gymnastics</v>
      </c>
      <c r="B56">
        <f t="shared" ref="B56:B62" si="2">IFERROR(IF(LARGE(37:37, 1), LARGE(37:37,1),"n/a"), "")</f>
        <v>100</v>
      </c>
      <c r="C56">
        <f t="shared" ref="C56:C62" si="3">IFERROR(IF(LARGE(37:37, 2), LARGE(37:37,2),"n/a"), "")</f>
        <v>97.222222222222214</v>
      </c>
      <c r="D56">
        <f t="shared" ref="D56:D62" si="4">IFERROR(IF(LARGE(37:37, 3), LARGE(37:37,3),"n/a"), "")</f>
        <v>69.444444444444429</v>
      </c>
      <c r="E56">
        <f t="shared" ref="E56:E62" si="5">IFERROR(IF(LARGE(37:37, 4), LARGE(37:37,4),"n/a"), "")</f>
        <v>54.012345679012341</v>
      </c>
      <c r="F56">
        <f t="shared" ref="F56:F62" si="6">SUM(B56:E56)</f>
        <v>320.67901234567898</v>
      </c>
      <c r="G56">
        <f t="shared" si="0"/>
        <v>3</v>
      </c>
    </row>
    <row r="57" spans="1:7">
      <c r="A57" t="str">
        <f t="shared" si="1"/>
        <v>Portsmouth</v>
      </c>
      <c r="B57">
        <f t="shared" si="2"/>
        <v>98.919753086419746</v>
      </c>
      <c r="C57">
        <f t="shared" si="3"/>
        <v>98.302469135802468</v>
      </c>
      <c r="D57">
        <f t="shared" si="4"/>
        <v>94.761171032357467</v>
      </c>
      <c r="E57">
        <f t="shared" si="5"/>
        <v>92.129629629629619</v>
      </c>
      <c r="F57">
        <f t="shared" si="6"/>
        <v>384.11302288420933</v>
      </c>
      <c r="G57">
        <f t="shared" si="0"/>
        <v>1</v>
      </c>
    </row>
    <row r="58" spans="1:7">
      <c r="A58" t="str">
        <f t="shared" si="1"/>
        <v>UEA Gymnastics Club</v>
      </c>
      <c r="B58">
        <f t="shared" si="2"/>
        <v>89.351851851851848</v>
      </c>
      <c r="C58">
        <f t="shared" si="3"/>
        <v>66.666666666666657</v>
      </c>
      <c r="D58">
        <f t="shared" si="4"/>
        <v>52.850539291217245</v>
      </c>
      <c r="E58" t="str">
        <f t="shared" si="5"/>
        <v/>
      </c>
      <c r="F58">
        <f t="shared" si="6"/>
        <v>208.86905780973575</v>
      </c>
      <c r="G58">
        <f t="shared" si="0"/>
        <v>4</v>
      </c>
    </row>
    <row r="59" spans="1:7">
      <c r="A59" t="str">
        <f t="shared" si="1"/>
        <v>University of London Gymnastics Club</v>
      </c>
      <c r="B59">
        <f t="shared" si="2"/>
        <v>99.38271604938268</v>
      </c>
      <c r="C59" t="str">
        <f t="shared" si="3"/>
        <v/>
      </c>
      <c r="D59" t="str">
        <f t="shared" si="4"/>
        <v/>
      </c>
      <c r="E59" t="str">
        <f t="shared" si="5"/>
        <v/>
      </c>
      <c r="F59">
        <f t="shared" si="6"/>
        <v>99.38271604938268</v>
      </c>
      <c r="G59">
        <f t="shared" si="0"/>
        <v>7</v>
      </c>
    </row>
    <row r="60" spans="1:7">
      <c r="A60" t="str">
        <f t="shared" si="1"/>
        <v>University of Surrey Gymnastics</v>
      </c>
      <c r="B60">
        <f t="shared" si="2"/>
        <v>59.938366718027737</v>
      </c>
      <c r="C60">
        <f t="shared" si="3"/>
        <v>37.499999999999993</v>
      </c>
      <c r="D60" t="str">
        <f t="shared" si="4"/>
        <v>n/a</v>
      </c>
      <c r="E60" t="str">
        <f t="shared" si="5"/>
        <v/>
      </c>
      <c r="F60">
        <f t="shared" si="6"/>
        <v>97.438366718027737</v>
      </c>
      <c r="G60">
        <f t="shared" si="0"/>
        <v>8</v>
      </c>
    </row>
    <row r="61" spans="1:7">
      <c r="A61" t="str">
        <f t="shared" si="1"/>
        <v>University of Southampton</v>
      </c>
      <c r="B61">
        <f t="shared" si="2"/>
        <v>100</v>
      </c>
      <c r="C61">
        <f t="shared" si="3"/>
        <v>90.740740740740733</v>
      </c>
      <c r="D61">
        <f t="shared" si="4"/>
        <v>88.289676425269647</v>
      </c>
      <c r="E61">
        <f t="shared" si="5"/>
        <v>86.728395061728378</v>
      </c>
      <c r="F61">
        <f t="shared" si="6"/>
        <v>365.75881222773876</v>
      </c>
      <c r="G61">
        <f t="shared" si="0"/>
        <v>2</v>
      </c>
    </row>
    <row r="62" spans="1:7">
      <c r="A62" t="str">
        <f t="shared" si="1"/>
        <v>FXU (falmouth and Exeter)</v>
      </c>
      <c r="B62">
        <f t="shared" si="2"/>
        <v>94.135802469135783</v>
      </c>
      <c r="C62">
        <f t="shared" si="3"/>
        <v>92.438271604938251</v>
      </c>
      <c r="D62" t="str">
        <f t="shared" si="4"/>
        <v/>
      </c>
      <c r="E62" t="str">
        <f t="shared" si="5"/>
        <v/>
      </c>
      <c r="F62">
        <f t="shared" si="6"/>
        <v>186.57407407407402</v>
      </c>
      <c r="G62">
        <f t="shared" si="0"/>
        <v>6</v>
      </c>
    </row>
    <row r="65" spans="1:7">
      <c r="A65" t="s">
        <v>109</v>
      </c>
      <c r="B65" t="s">
        <v>115</v>
      </c>
      <c r="C65" t="s">
        <v>116</v>
      </c>
      <c r="D65" t="s">
        <v>117</v>
      </c>
      <c r="E65" t="s">
        <v>118</v>
      </c>
      <c r="F65" t="s">
        <v>114</v>
      </c>
      <c r="G65" t="s">
        <v>96</v>
      </c>
    </row>
    <row r="66" spans="1:7">
      <c r="A66" t="str">
        <f t="shared" ref="A66:A73" si="7">A55</f>
        <v>Aberdeen University Gymnastics Club</v>
      </c>
      <c r="B66" t="str" cm="1">
        <f t="array" ref="B66">IFERROR(_xlfn.XLOOKUP(1, ($C$2:$C$32 = B55) * ($A$2:$A$32 = $A55), $B$2:$B$32), "")</f>
        <v>Megan Allan</v>
      </c>
      <c r="C66" t="str" cm="1">
        <f t="array" ref="C66">IFERROR(_xlfn.XLOOKUP(1, ($C$2:$C$32 = C55) * ($A$2:$A$32 = $A55), $B$2:$B$32), "")</f>
        <v>Rémi Théron</v>
      </c>
      <c r="D66" t="str" cm="1">
        <f t="array" ref="D66">IFERROR(_xlfn.XLOOKUP(1, ($C$2:$C$32 = D55) * ($A$2:$A$32 = $A55), $B$2:$B$32), "")</f>
        <v/>
      </c>
      <c r="E66" t="str" cm="1">
        <f t="array" ref="E66">IFERROR(_xlfn.XLOOKUP(1, ($C$2:$C$32 = E55) * ($A$2:$A$32 = $A55), $B$2:$B$32), "")</f>
        <v/>
      </c>
      <c r="F66">
        <f t="shared" ref="F66:F73" si="8">SUM(B55:E55)</f>
        <v>191.98767334360554</v>
      </c>
      <c r="G66">
        <f t="shared" ref="G66:G73" si="9">RANK(F55, F$55:F$62,0)</f>
        <v>5</v>
      </c>
    </row>
    <row r="67" spans="1:7">
      <c r="A67" t="str">
        <f t="shared" si="7"/>
        <v>Cardiff Met Gymnastics</v>
      </c>
      <c r="B67" t="str" cm="1">
        <f t="array" ref="B67">IFERROR(_xlfn.XLOOKUP(1, ($C$2:$C$32 = B56) * ($A$2:$A$32 = $A56), $B$2:$B$32), "")</f>
        <v>Rob Scott</v>
      </c>
      <c r="C67" t="str" cm="1">
        <f t="array" ref="C67">IFERROR(_xlfn.XLOOKUP(1, ($C$2:$C$32 = C56) * ($A$2:$A$32 = $A56), $B$2:$B$32), "")</f>
        <v>Glesni Powell</v>
      </c>
      <c r="D67" t="str" cm="1">
        <f t="array" ref="D67">IFERROR(_xlfn.XLOOKUP(1, ($C$2:$C$32 = D56) * ($A$2:$A$32 = $A56), $B$2:$B$32), "")</f>
        <v>Seren Richards</v>
      </c>
      <c r="E67" t="str" cm="1">
        <f t="array" ref="E67">IFERROR(_xlfn.XLOOKUP(1, ($C$2:$C$32 = E56) * ($A$2:$A$32 = $A56), $B$2:$B$32), "")</f>
        <v>Maddie Boyce</v>
      </c>
      <c r="F67">
        <f t="shared" si="8"/>
        <v>320.67901234567898</v>
      </c>
      <c r="G67">
        <f t="shared" si="9"/>
        <v>3</v>
      </c>
    </row>
    <row r="68" spans="1:7">
      <c r="A68" t="str">
        <f t="shared" si="7"/>
        <v>Portsmouth</v>
      </c>
      <c r="B68" t="str" cm="1">
        <f t="array" ref="B68">IFERROR(_xlfn.XLOOKUP(1, ($C$2:$C$32 = B57) * ($A$2:$A$32 = $A57), $B$2:$B$32), "")</f>
        <v>Sara Storrow</v>
      </c>
      <c r="C68" t="str" cm="1">
        <f t="array" ref="C68">IFERROR(_xlfn.XLOOKUP(1, ($C$2:$C$32 = C57) * ($A$2:$A$32 = $A57), $B$2:$B$32), "")</f>
        <v>Jessica Craze</v>
      </c>
      <c r="D68" t="str" cm="1">
        <f t="array" ref="D68">IFERROR(_xlfn.XLOOKUP(1, ($C$2:$C$32 = D57) * ($A$2:$A$32 = $A57), $B$2:$B$32), "")</f>
        <v>Brandon Sinclair</v>
      </c>
      <c r="E68" t="str" cm="1">
        <f t="array" ref="E68">IFERROR(_xlfn.XLOOKUP(1, ($C$2:$C$32 = E57) * ($A$2:$A$32 = $A57), $B$2:$B$32), "")</f>
        <v>Julia Skrzypon</v>
      </c>
      <c r="F68">
        <f t="shared" si="8"/>
        <v>384.11302288420933</v>
      </c>
      <c r="G68">
        <f t="shared" si="9"/>
        <v>1</v>
      </c>
    </row>
    <row r="69" spans="1:7">
      <c r="A69" t="str">
        <f t="shared" si="7"/>
        <v>UEA Gymnastics Club</v>
      </c>
      <c r="B69" t="str" cm="1">
        <f t="array" ref="B69">IFERROR(_xlfn.XLOOKUP(1, ($C$2:$C$32 = B58) * ($A$2:$A$32 = $A58), $B$2:$B$32), "")</f>
        <v>Mollie Smith</v>
      </c>
      <c r="C69" t="str" cm="1">
        <f t="array" ref="C69">IFERROR(_xlfn.XLOOKUP(1, ($C$2:$C$32 = C58) * ($A$2:$A$32 = $A58), $B$2:$B$32), "")</f>
        <v>Abbie Stubbs</v>
      </c>
      <c r="D69" t="str" cm="1">
        <f t="array" ref="D69">IFERROR(_xlfn.XLOOKUP(1, ($C$2:$C$32 = D58) * ($A$2:$A$32 = $A58), $B$2:$B$32), "")</f>
        <v>Adam Staggs</v>
      </c>
      <c r="E69" t="str" cm="1">
        <f t="array" ref="E69">IFERROR(_xlfn.XLOOKUP(1, ($C$2:$C$32 = E58) * ($A$2:$A$32 = $A58), $B$2:$B$32), "")</f>
        <v/>
      </c>
      <c r="F69">
        <f t="shared" si="8"/>
        <v>208.86905780973575</v>
      </c>
      <c r="G69">
        <f t="shared" si="9"/>
        <v>4</v>
      </c>
    </row>
    <row r="70" spans="1:7">
      <c r="A70" t="str">
        <f t="shared" si="7"/>
        <v>University of London Gymnastics Club</v>
      </c>
      <c r="B70" t="str" cm="1">
        <f t="array" ref="B70">IFERROR(_xlfn.XLOOKUP(1, ($C$2:$C$32 = B59) * ($A$2:$A$32 = $A59), $B$2:$B$32), "")</f>
        <v>Juliette Sens</v>
      </c>
      <c r="C70" t="str" cm="1">
        <f t="array" ref="C70">IFERROR(_xlfn.XLOOKUP(1, ($C$2:$C$32 = C59) * ($A$2:$A$32 = $A59), $B$2:$B$32), "")</f>
        <v/>
      </c>
      <c r="D70" t="str" cm="1">
        <f t="array" ref="D70">IFERROR(_xlfn.XLOOKUP(1, ($C$2:$C$32 = D59) * ($A$2:$A$32 = $A59), $B$2:$B$32), "")</f>
        <v/>
      </c>
      <c r="E70" t="str" cm="1">
        <f t="array" ref="E70">IFERROR(_xlfn.XLOOKUP(1, ($C$2:$C$32 = E59) * ($A$2:$A$32 = $A59), $B$2:$B$32), "")</f>
        <v/>
      </c>
      <c r="F70">
        <f t="shared" si="8"/>
        <v>99.38271604938268</v>
      </c>
      <c r="G70">
        <f t="shared" si="9"/>
        <v>7</v>
      </c>
    </row>
    <row r="71" spans="1:7">
      <c r="A71" t="str">
        <f t="shared" si="7"/>
        <v>University of Surrey Gymnastics</v>
      </c>
      <c r="B71" t="str" cm="1">
        <f t="array" ref="B71">IFERROR(_xlfn.XLOOKUP(1, ($C$2:$C$32 = B60) * ($A$2:$A$32 = $A60), $B$2:$B$32), "")</f>
        <v>Aymen Alshawi</v>
      </c>
      <c r="C71" t="str" cm="1">
        <f t="array" ref="C71">IFERROR(_xlfn.XLOOKUP(1, ($C$2:$C$32 = C60) * ($A$2:$A$32 = $A60), $B$2:$B$32), "")</f>
        <v>Hannah Edwards</v>
      </c>
      <c r="D71" t="str" cm="1">
        <f t="array" ref="D71">IFERROR(_xlfn.XLOOKUP(1, ($C$2:$C$32 = D60) * ($A$2:$A$32 = $A60), $B$2:$B$32), "")</f>
        <v/>
      </c>
      <c r="E71" t="str" cm="1">
        <f t="array" ref="E71">IFERROR(_xlfn.XLOOKUP(1, ($C$2:$C$32 = E60) * ($A$2:$A$32 = $A60), $B$2:$B$32), "")</f>
        <v/>
      </c>
      <c r="F71">
        <f t="shared" si="8"/>
        <v>97.438366718027737</v>
      </c>
      <c r="G71">
        <f t="shared" si="9"/>
        <v>8</v>
      </c>
    </row>
    <row r="72" spans="1:7">
      <c r="A72" t="str">
        <f t="shared" si="7"/>
        <v>University of Southampton</v>
      </c>
      <c r="B72" t="str" cm="1">
        <f t="array" ref="B72">IFERROR(_xlfn.XLOOKUP(1, ($C$2:$C$32 = B61) * ($A$2:$A$32 = $A61), $B$2:$B$32), "")</f>
        <v>Natalie Mak</v>
      </c>
      <c r="C72" t="str" cm="1">
        <f t="array" ref="C72">IFERROR(_xlfn.XLOOKUP(1, ($C$2:$C$32 = C61) * ($A$2:$A$32 = $A61), $B$2:$B$32), "")</f>
        <v>Niamh Sergent</v>
      </c>
      <c r="D72" t="str" cm="1">
        <f t="array" ref="D72">IFERROR(_xlfn.XLOOKUP(1, ($C$2:$C$32 = D61) * ($A$2:$A$32 = $A61), $B$2:$B$32), "")</f>
        <v>Daniel Poller</v>
      </c>
      <c r="E72" t="str" cm="1">
        <f t="array" ref="E72">IFERROR(_xlfn.XLOOKUP(1, ($C$2:$C$32 = E61) * ($A$2:$A$32 = $A61), $B$2:$B$32), "")</f>
        <v>Jessica Robins</v>
      </c>
      <c r="F72">
        <f t="shared" si="8"/>
        <v>365.75881222773876</v>
      </c>
      <c r="G72">
        <f t="shared" si="9"/>
        <v>2</v>
      </c>
    </row>
    <row r="73" spans="1:7">
      <c r="A73" t="str">
        <f t="shared" si="7"/>
        <v>FXU (falmouth and Exeter)</v>
      </c>
      <c r="B73" t="str" cm="1">
        <f t="array" ref="B73">IFERROR(_xlfn.XLOOKUP(1, ($C$2:$C$32 = B62) * ($A$2:$A$32 = $A62), $B$2:$B$32), "")</f>
        <v>Emily Day</v>
      </c>
      <c r="C73" t="str" cm="1">
        <f t="array" ref="C73">IFERROR(_xlfn.XLOOKUP(1, ($C$2:$C$32 = C62) * ($A$2:$A$32 = $A62), $B$2:$B$32), "")</f>
        <v>Charlotte Stafford</v>
      </c>
      <c r="D73" t="str" cm="1">
        <f t="array" ref="D73">IFERROR(_xlfn.XLOOKUP(1, ($C$2:$C$32 = D62) * ($A$2:$A$32 = $A62), $B$2:$B$32), "")</f>
        <v/>
      </c>
      <c r="E73" t="str" cm="1">
        <f t="array" ref="E73">IFERROR(_xlfn.XLOOKUP(1, ($C$2:$C$32 = E62) * ($A$2:$A$32 = $A62), $B$2:$B$32), "")</f>
        <v/>
      </c>
      <c r="F73">
        <f t="shared" si="8"/>
        <v>186.57407407407402</v>
      </c>
      <c r="G73">
        <f t="shared" si="9"/>
        <v>6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5E32E-99A8-49C2-9B4B-0DF3DD53AC3C}">
  <dimension ref="A1:W62"/>
  <sheetViews>
    <sheetView topLeftCell="A25" workbookViewId="0">
      <selection activeCell="J2" sqref="J2"/>
    </sheetView>
  </sheetViews>
  <sheetFormatPr defaultColWidth="8.83203125" defaultRowHeight="15.5"/>
  <cols>
    <col min="1" max="1" width="32" bestFit="1" customWidth="1"/>
    <col min="2" max="2" width="15" bestFit="1" customWidth="1"/>
    <col min="3" max="3" width="12.58203125" bestFit="1" customWidth="1"/>
    <col min="4" max="4" width="12.08203125" bestFit="1" customWidth="1"/>
    <col min="5" max="5" width="8.83203125" bestFit="1" customWidth="1"/>
    <col min="6" max="6" width="14" bestFit="1" customWidth="1"/>
    <col min="7" max="7" width="13.08203125" bestFit="1" customWidth="1"/>
    <col min="8" max="8" width="12.83203125" bestFit="1" customWidth="1"/>
    <col min="9" max="9" width="12.58203125" bestFit="1" customWidth="1"/>
    <col min="10" max="10" width="10.83203125" bestFit="1" customWidth="1"/>
    <col min="11" max="11" width="11.58203125" bestFit="1" customWidth="1"/>
    <col min="12" max="12" width="12.08203125" bestFit="1" customWidth="1"/>
    <col min="13" max="13" width="13.33203125" bestFit="1" customWidth="1"/>
    <col min="14" max="14" width="14.08203125" bestFit="1" customWidth="1"/>
    <col min="15" max="15" width="15.33203125" bestFit="1" customWidth="1"/>
    <col min="16" max="17" width="11.58203125" bestFit="1" customWidth="1"/>
    <col min="18" max="18" width="15" bestFit="1" customWidth="1"/>
    <col min="19" max="19" width="10.5" bestFit="1" customWidth="1"/>
    <col min="20" max="20" width="12" bestFit="1" customWidth="1"/>
    <col min="21" max="21" width="13" bestFit="1" customWidth="1"/>
    <col min="22" max="22" width="10" bestFit="1" customWidth="1"/>
    <col min="23" max="23" width="16.33203125" bestFit="1" customWidth="1"/>
    <col min="24" max="24" width="11.83203125" bestFit="1" customWidth="1"/>
    <col min="25" max="25" width="12.58203125" bestFit="1" customWidth="1"/>
    <col min="26" max="26" width="16.83203125" bestFit="1" customWidth="1"/>
    <col min="27" max="27" width="13.08203125" bestFit="1" customWidth="1"/>
    <col min="28" max="29" width="15.5" bestFit="1" customWidth="1"/>
    <col min="30" max="31" width="11.83203125" bestFit="1" customWidth="1"/>
    <col min="32" max="32" width="10.83203125" bestFit="1" customWidth="1"/>
    <col min="33" max="33" width="12.33203125" bestFit="1" customWidth="1"/>
    <col min="34" max="34" width="17" bestFit="1" customWidth="1"/>
    <col min="35" max="35" width="14.33203125" bestFit="1" customWidth="1"/>
    <col min="36" max="36" width="16.5" bestFit="1" customWidth="1"/>
    <col min="37" max="37" width="12.5" bestFit="1" customWidth="1"/>
    <col min="38" max="38" width="11.83203125" bestFit="1" customWidth="1"/>
    <col min="39" max="39" width="10.5" bestFit="1" customWidth="1"/>
    <col min="40" max="40" width="11.5" bestFit="1" customWidth="1"/>
    <col min="41" max="41" width="11.83203125" bestFit="1" customWidth="1"/>
    <col min="42" max="42" width="15" bestFit="1" customWidth="1"/>
    <col min="43" max="43" width="11.83203125" bestFit="1" customWidth="1"/>
    <col min="44" max="44" width="9" bestFit="1" customWidth="1"/>
    <col min="45" max="45" width="11.58203125" bestFit="1" customWidth="1"/>
    <col min="46" max="46" width="15.5" bestFit="1" customWidth="1"/>
    <col min="47" max="47" width="16.83203125" bestFit="1" customWidth="1"/>
    <col min="48" max="49" width="11.83203125" bestFit="1" customWidth="1"/>
    <col min="50" max="50" width="13.83203125" bestFit="1" customWidth="1"/>
    <col min="51" max="53" width="11.83203125" bestFit="1" customWidth="1"/>
    <col min="54" max="54" width="8.5" bestFit="1" customWidth="1"/>
    <col min="55" max="55" width="13.5" bestFit="1" customWidth="1"/>
    <col min="56" max="56" width="13.08203125" bestFit="1" customWidth="1"/>
    <col min="57" max="57" width="13.83203125" bestFit="1" customWidth="1"/>
    <col min="58" max="59" width="11.83203125" bestFit="1" customWidth="1"/>
    <col min="60" max="60" width="14.58203125" bestFit="1" customWidth="1"/>
    <col min="61" max="61" width="10.5" bestFit="1" customWidth="1"/>
    <col min="62" max="63" width="11.83203125" bestFit="1" customWidth="1"/>
    <col min="64" max="64" width="13.5" bestFit="1" customWidth="1"/>
    <col min="65" max="65" width="14.83203125" bestFit="1" customWidth="1"/>
    <col min="66" max="66" width="15" bestFit="1" customWidth="1"/>
    <col min="67" max="67" width="10.83203125" bestFit="1" customWidth="1"/>
    <col min="68" max="68" width="15.5" bestFit="1" customWidth="1"/>
    <col min="69" max="69" width="13.5" bestFit="1" customWidth="1"/>
    <col min="70" max="70" width="12.58203125" bestFit="1" customWidth="1"/>
    <col min="71" max="71" width="15.83203125" bestFit="1" customWidth="1"/>
    <col min="72" max="73" width="11.83203125" bestFit="1" customWidth="1"/>
  </cols>
  <sheetData>
    <row r="1" spans="1:3">
      <c r="A1" t="str" cm="1">
        <f t="array" ref="A1:A18">'Novice Women'!A1:A18</f>
        <v>University / Institution</v>
      </c>
      <c r="B1" t="str" cm="1">
        <f t="array" ref="B1:B18">'Novice Women'!C1:C18</f>
        <v>Name</v>
      </c>
      <c r="C1" t="s">
        <v>48</v>
      </c>
    </row>
    <row r="2" spans="1:3">
      <c r="A2" t="str">
        <v>Portsmouth</v>
      </c>
      <c r="B2" t="str">
        <v>Abbie Newton</v>
      </c>
      <c r="C2">
        <f>IF('Novice Women'!S2, 'Novice Women'!S2, "nil")</f>
        <v>100</v>
      </c>
    </row>
    <row r="3" spans="1:3">
      <c r="A3" t="str">
        <v>Portsmouth</v>
      </c>
      <c r="B3" t="str">
        <v>Irisz Kalman</v>
      </c>
      <c r="C3">
        <f>IF('Novice Women'!S3, 'Novice Women'!S3, "nil")</f>
        <v>90.625</v>
      </c>
    </row>
    <row r="4" spans="1:3">
      <c r="A4" t="str">
        <v>Portsmouth</v>
      </c>
      <c r="B4" t="str">
        <v>Jessica Kerswell</v>
      </c>
      <c r="C4">
        <f>IF('Novice Women'!S4, 'Novice Women'!S4, "nil")</f>
        <v>87.019230769230774</v>
      </c>
    </row>
    <row r="5" spans="1:3">
      <c r="A5" t="str">
        <v>Cardiff Met Gymnastics</v>
      </c>
      <c r="B5" t="str">
        <v>Amy Osborne</v>
      </c>
      <c r="C5">
        <f>IF('Novice Women'!S5, 'Novice Women'!S5, "nil")</f>
        <v>86.77884615384616</v>
      </c>
    </row>
    <row r="6" spans="1:3">
      <c r="A6" t="str">
        <v>University of London Gymnastics Club</v>
      </c>
      <c r="B6" t="str">
        <v>Skye Sands</v>
      </c>
      <c r="C6">
        <f>IF('Novice Women'!S6, 'Novice Women'!S6, "nil")</f>
        <v>86.057692307692307</v>
      </c>
    </row>
    <row r="7" spans="1:3">
      <c r="A7" t="str">
        <v>University of Surrey Gymnastics</v>
      </c>
      <c r="B7" t="str">
        <v>Sophie Warrener</v>
      </c>
      <c r="C7">
        <f>IF('Novice Women'!S7, 'Novice Women'!S7, "nil")</f>
        <v>85.09615384615384</v>
      </c>
    </row>
    <row r="8" spans="1:3">
      <c r="A8" t="str">
        <v>Portsmouth</v>
      </c>
      <c r="B8" t="str">
        <v>Ellen Herring</v>
      </c>
      <c r="C8">
        <f>IF('Novice Women'!S8, 'Novice Women'!S8, "nil")</f>
        <v>82.211538461538467</v>
      </c>
    </row>
    <row r="9" spans="1:3">
      <c r="A9" t="str">
        <v>UEA Gymnastics Club</v>
      </c>
      <c r="B9" t="str">
        <v>Claudia Mendes</v>
      </c>
      <c r="C9">
        <f>IF('Novice Women'!S9, 'Novice Women'!S9, "nil")</f>
        <v>80.288461538461533</v>
      </c>
    </row>
    <row r="10" spans="1:3">
      <c r="A10" t="str">
        <v>Portsmouth</v>
      </c>
      <c r="B10" t="str">
        <v>Bethany Cook</v>
      </c>
      <c r="C10">
        <f>IF('Novice Women'!S10, 'Novice Women'!S10, "nil")</f>
        <v>78.605769230769241</v>
      </c>
    </row>
    <row r="11" spans="1:3">
      <c r="A11" t="str">
        <v>Portsmouth</v>
      </c>
      <c r="B11" t="str">
        <v>Saskia Campbell</v>
      </c>
      <c r="C11">
        <f>IF('Novice Women'!S11, 'Novice Women'!S11, "nil")</f>
        <v>77.644230769230759</v>
      </c>
    </row>
    <row r="12" spans="1:3">
      <c r="A12" t="str">
        <v>Portsmouth</v>
      </c>
      <c r="B12" t="str">
        <v>Mina Borchard</v>
      </c>
      <c r="C12">
        <f>IF('Novice Women'!S12, 'Novice Women'!S12, "nil")</f>
        <v>75.480769230769226</v>
      </c>
    </row>
    <row r="13" spans="1:3">
      <c r="A13" t="str">
        <v>FXU (falmouth and Exeter)</v>
      </c>
      <c r="B13" t="str">
        <v>Hannah Tucker</v>
      </c>
      <c r="C13">
        <f>IF('Novice Women'!S13, 'Novice Women'!S13, "nil")</f>
        <v>70.67307692307692</v>
      </c>
    </row>
    <row r="14" spans="1:3">
      <c r="A14" t="str">
        <v>University of Southampton</v>
      </c>
      <c r="B14" t="str">
        <v>Ellie Browne</v>
      </c>
      <c r="C14">
        <f>IF('Novice Women'!S14, 'Novice Women'!S14, "nil")</f>
        <v>69.951923076923066</v>
      </c>
    </row>
    <row r="15" spans="1:3">
      <c r="A15" t="str">
        <v>UEA Gymnastics Club</v>
      </c>
      <c r="B15" t="str">
        <v>Xanthe Kingsman</v>
      </c>
      <c r="C15">
        <f>IF('Novice Women'!S15, 'Novice Women'!S15, "nil")</f>
        <v>55.28846153846154</v>
      </c>
    </row>
    <row r="16" spans="1:3">
      <c r="A16" t="str">
        <v>Portsmouth</v>
      </c>
      <c r="B16" t="str">
        <v>Sara Rock</v>
      </c>
      <c r="C16">
        <f>IF('Novice Women'!S16, 'Novice Women'!S16, "nil")</f>
        <v>31.25</v>
      </c>
    </row>
    <row r="17" spans="1:23">
      <c r="A17" t="str">
        <v>Portsmouth</v>
      </c>
      <c r="B17" t="str">
        <v>Chloe mathias</v>
      </c>
      <c r="C17" t="str">
        <f>IF('Novice Women'!S17, 'Novice Women'!S17, "nil")</f>
        <v>nil</v>
      </c>
    </row>
    <row r="18" spans="1:23">
      <c r="A18" t="str">
        <v>Portsmouth</v>
      </c>
      <c r="B18" t="str">
        <v>Charli Morgan</v>
      </c>
      <c r="C18" t="str">
        <f>IF('Novice Women'!S18, 'Novice Women'!S18, "nil")</f>
        <v>nil</v>
      </c>
    </row>
    <row r="19" spans="1:23">
      <c r="A19" t="str" cm="1">
        <f t="array" ref="A19:A23">'Novice Men'!A2:A6</f>
        <v>FXU (falmouth and Exeter)</v>
      </c>
      <c r="B19" t="str" cm="1">
        <f t="array" ref="B19:B23">'Novice Men'!C2:C6</f>
        <v>Owen Lloyd</v>
      </c>
      <c r="C19">
        <f>IF('Novice Men'!S2, 'Novice Men'!S2, "nil")</f>
        <v>100</v>
      </c>
    </row>
    <row r="20" spans="1:23">
      <c r="A20" t="str">
        <v>Portsmouth</v>
      </c>
      <c r="B20" t="str">
        <v>Jake Pettman</v>
      </c>
      <c r="C20">
        <f>IF('Novice Men'!S3, 'Novice Men'!S3, "nil")</f>
        <v>97.905759162303653</v>
      </c>
    </row>
    <row r="21" spans="1:23">
      <c r="A21" t="str">
        <v>UEA Gymnastics Club</v>
      </c>
      <c r="B21" t="str">
        <v>Alex Linley-Hill</v>
      </c>
      <c r="C21">
        <f>IF('Novice Men'!S4, 'Novice Men'!S4, "nil")</f>
        <v>91.099476439790564</v>
      </c>
    </row>
    <row r="22" spans="1:23">
      <c r="A22" t="str">
        <v>University of Southampton</v>
      </c>
      <c r="B22" t="str">
        <v>Luc Orgueil</v>
      </c>
      <c r="C22" t="str">
        <f>IF('Novice Men'!S5, 'Novice Men'!S5, "nil")</f>
        <v>nil</v>
      </c>
    </row>
    <row r="23" spans="1:23">
      <c r="A23" t="str">
        <v>University of Southampton</v>
      </c>
      <c r="B23" t="str">
        <v>Jude Rolfe-Tarrant</v>
      </c>
      <c r="C23" t="str">
        <f>IF('Novice Men'!S6, 'Novice Men'!S6, "nil")</f>
        <v>nil</v>
      </c>
    </row>
    <row r="26" spans="1:23">
      <c r="A26" s="42" t="s">
        <v>106</v>
      </c>
      <c r="B26" s="42" t="s">
        <v>108</v>
      </c>
    </row>
    <row r="27" spans="1:23">
      <c r="A27" s="42" t="s">
        <v>105</v>
      </c>
      <c r="B27" t="s">
        <v>166</v>
      </c>
      <c r="C27" t="s">
        <v>167</v>
      </c>
      <c r="D27" t="s">
        <v>168</v>
      </c>
      <c r="E27" t="s">
        <v>169</v>
      </c>
      <c r="F27" t="s">
        <v>170</v>
      </c>
      <c r="G27" t="s">
        <v>171</v>
      </c>
      <c r="H27" t="s">
        <v>172</v>
      </c>
      <c r="I27" t="s">
        <v>173</v>
      </c>
      <c r="J27" t="s">
        <v>95</v>
      </c>
      <c r="K27" t="s">
        <v>174</v>
      </c>
      <c r="L27" t="s">
        <v>102</v>
      </c>
      <c r="M27" t="s">
        <v>175</v>
      </c>
      <c r="N27" t="s">
        <v>176</v>
      </c>
      <c r="O27" t="s">
        <v>103</v>
      </c>
      <c r="P27" t="s">
        <v>104</v>
      </c>
      <c r="Q27" t="s">
        <v>177</v>
      </c>
      <c r="R27" t="s">
        <v>178</v>
      </c>
      <c r="S27" t="s">
        <v>137</v>
      </c>
      <c r="T27" t="s">
        <v>138</v>
      </c>
      <c r="U27" t="s">
        <v>80</v>
      </c>
      <c r="V27" t="s">
        <v>139</v>
      </c>
      <c r="W27" t="s">
        <v>140</v>
      </c>
    </row>
    <row r="28" spans="1:23">
      <c r="A28" s="43" t="s">
        <v>69</v>
      </c>
      <c r="B28" s="44">
        <v>77.644230769230759</v>
      </c>
      <c r="C28" s="44">
        <v>0</v>
      </c>
      <c r="D28" s="44">
        <v>78.605769230769241</v>
      </c>
      <c r="E28" s="44">
        <v>31.25</v>
      </c>
      <c r="F28" s="44">
        <v>87.019230769230774</v>
      </c>
      <c r="G28" s="44">
        <v>75.480769230769226</v>
      </c>
      <c r="H28" s="44">
        <v>100</v>
      </c>
      <c r="I28" s="44">
        <v>0</v>
      </c>
      <c r="J28" s="44">
        <v>90.625</v>
      </c>
      <c r="K28" s="44">
        <v>82.211538461538467</v>
      </c>
      <c r="L28" s="44"/>
      <c r="M28" s="44"/>
      <c r="N28" s="44"/>
      <c r="O28" s="44"/>
      <c r="P28" s="44"/>
      <c r="Q28" s="44"/>
      <c r="R28" s="44"/>
      <c r="S28" s="44"/>
      <c r="T28" s="44">
        <v>97.905759162303653</v>
      </c>
      <c r="U28" s="44"/>
      <c r="V28" s="44"/>
      <c r="W28" s="44"/>
    </row>
    <row r="29" spans="1:23">
      <c r="A29" s="43" t="s">
        <v>73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>
        <v>86.77884615384616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1:23">
      <c r="A30" s="43" t="s">
        <v>136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>
        <v>70.67307692307692</v>
      </c>
      <c r="N30" s="44"/>
      <c r="O30" s="44"/>
      <c r="P30" s="44"/>
      <c r="Q30" s="44"/>
      <c r="R30" s="44"/>
      <c r="S30" s="44">
        <v>100</v>
      </c>
      <c r="T30" s="44"/>
      <c r="U30" s="44"/>
      <c r="V30" s="44"/>
      <c r="W30" s="44"/>
    </row>
    <row r="31" spans="1:23">
      <c r="A31" s="43" t="s">
        <v>74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>
        <v>80.288461538461533</v>
      </c>
      <c r="O31" s="44">
        <v>55.28846153846154</v>
      </c>
      <c r="P31" s="44"/>
      <c r="Q31" s="44"/>
      <c r="R31" s="44"/>
      <c r="S31" s="44"/>
      <c r="T31" s="44"/>
      <c r="U31" s="44">
        <v>91.099476439790564</v>
      </c>
      <c r="V31" s="44"/>
      <c r="W31" s="44"/>
    </row>
    <row r="32" spans="1:23">
      <c r="A32" s="43" t="s">
        <v>98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>
        <v>86.057692307692307</v>
      </c>
      <c r="Q32" s="44"/>
      <c r="R32" s="44"/>
      <c r="S32" s="44"/>
      <c r="T32" s="44"/>
      <c r="U32" s="44"/>
      <c r="V32" s="44"/>
      <c r="W32" s="44"/>
    </row>
    <row r="33" spans="1:23">
      <c r="A33" s="43" t="s">
        <v>124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>
        <v>69.951923076923066</v>
      </c>
      <c r="R33" s="44"/>
      <c r="S33" s="44"/>
      <c r="T33" s="44"/>
      <c r="U33" s="44"/>
      <c r="V33" s="44">
        <v>0</v>
      </c>
      <c r="W33" s="44">
        <v>0</v>
      </c>
    </row>
    <row r="34" spans="1:23">
      <c r="A34" s="43" t="s">
        <v>125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>
        <v>85.09615384615384</v>
      </c>
      <c r="S34" s="44"/>
      <c r="T34" s="44"/>
      <c r="U34" s="44"/>
      <c r="V34" s="44"/>
      <c r="W34" s="44"/>
    </row>
    <row r="46" spans="1:23">
      <c r="A46" s="43" t="s">
        <v>109</v>
      </c>
      <c r="B46" t="s">
        <v>110</v>
      </c>
      <c r="C46" t="s">
        <v>111</v>
      </c>
      <c r="D46" t="s">
        <v>112</v>
      </c>
      <c r="E46" t="s">
        <v>113</v>
      </c>
      <c r="F46" t="s">
        <v>120</v>
      </c>
      <c r="G46" t="s">
        <v>121</v>
      </c>
    </row>
    <row r="47" spans="1:23">
      <c r="A47" t="str" cm="1">
        <f t="array" ref="A47:A53">A28:A34</f>
        <v>Portsmouth</v>
      </c>
      <c r="B47">
        <f>IFERROR(IF(LARGE(28:28, 1), LARGE(28:28,1),"n/a"), "")</f>
        <v>100</v>
      </c>
      <c r="C47">
        <f>IFERROR(IF(LARGE(28:28, 2), LARGE(28:28,2),"n/a"), "")</f>
        <v>97.905759162303653</v>
      </c>
      <c r="D47">
        <f>IFERROR(IF(LARGE(28:28, 3), LARGE(28:28,3),"n/a"), "")</f>
        <v>90.625</v>
      </c>
      <c r="E47">
        <f>IFERROR(IF(LARGE(28:28, 4), LARGE(28:28,4),"n/a"), "")</f>
        <v>87.019230769230774</v>
      </c>
      <c r="F47">
        <f>SUM(B47:E47)</f>
        <v>375.54998993153441</v>
      </c>
      <c r="G47">
        <f t="shared" ref="G47:G53" si="0">RANK(F47, F$47:F$53,0)</f>
        <v>1</v>
      </c>
    </row>
    <row r="48" spans="1:23">
      <c r="A48" t="str">
        <v>Cardiff Met Gymnastics</v>
      </c>
      <c r="B48">
        <f t="shared" ref="B48:B53" si="1">IFERROR(IF(LARGE(29:29, 1), LARGE(29:29,1),"n/a"), "")</f>
        <v>86.77884615384616</v>
      </c>
      <c r="C48" t="str">
        <f t="shared" ref="C48:C53" si="2">IFERROR(IF(LARGE(29:29, 2), LARGE(29:29,2),"n/a"), "")</f>
        <v/>
      </c>
      <c r="D48" t="str">
        <f t="shared" ref="D48:D53" si="3">IFERROR(IF(LARGE(29:29, 3), LARGE(29:29,3),"n/a"), "")</f>
        <v/>
      </c>
      <c r="E48" t="str">
        <f t="shared" ref="E48:E53" si="4">IFERROR(IF(LARGE(29:29, 4), LARGE(29:29,4),"n/a"), "")</f>
        <v/>
      </c>
      <c r="F48">
        <f t="shared" ref="F48:F53" si="5">SUM(B48:E48)</f>
        <v>86.77884615384616</v>
      </c>
      <c r="G48">
        <f t="shared" si="0"/>
        <v>4</v>
      </c>
    </row>
    <row r="49" spans="1:7">
      <c r="A49" t="str">
        <v>FXU (falmouth and Exeter)</v>
      </c>
      <c r="B49">
        <f t="shared" si="1"/>
        <v>100</v>
      </c>
      <c r="C49">
        <f t="shared" si="2"/>
        <v>70.67307692307692</v>
      </c>
      <c r="D49" t="str">
        <f t="shared" si="3"/>
        <v/>
      </c>
      <c r="E49" t="str">
        <f t="shared" si="4"/>
        <v/>
      </c>
      <c r="F49">
        <f t="shared" si="5"/>
        <v>170.67307692307691</v>
      </c>
      <c r="G49">
        <f t="shared" si="0"/>
        <v>3</v>
      </c>
    </row>
    <row r="50" spans="1:7">
      <c r="A50" t="str">
        <v>UEA Gymnastics Club</v>
      </c>
      <c r="B50">
        <f t="shared" si="1"/>
        <v>91.099476439790564</v>
      </c>
      <c r="C50">
        <f t="shared" si="2"/>
        <v>80.288461538461533</v>
      </c>
      <c r="D50">
        <f t="shared" si="3"/>
        <v>55.28846153846154</v>
      </c>
      <c r="E50" t="str">
        <f t="shared" si="4"/>
        <v/>
      </c>
      <c r="F50">
        <f t="shared" si="5"/>
        <v>226.67639951671364</v>
      </c>
      <c r="G50">
        <f t="shared" si="0"/>
        <v>2</v>
      </c>
    </row>
    <row r="51" spans="1:7">
      <c r="A51" t="str">
        <v>University of London Gymnastics Club</v>
      </c>
      <c r="B51">
        <f t="shared" si="1"/>
        <v>86.057692307692307</v>
      </c>
      <c r="C51" t="str">
        <f t="shared" si="2"/>
        <v/>
      </c>
      <c r="D51" t="str">
        <f t="shared" si="3"/>
        <v/>
      </c>
      <c r="E51" t="str">
        <f t="shared" si="4"/>
        <v/>
      </c>
      <c r="F51">
        <f t="shared" si="5"/>
        <v>86.057692307692307</v>
      </c>
      <c r="G51">
        <f t="shared" si="0"/>
        <v>5</v>
      </c>
    </row>
    <row r="52" spans="1:7">
      <c r="A52" t="str">
        <v>University of Southampton</v>
      </c>
      <c r="B52">
        <f t="shared" si="1"/>
        <v>69.951923076923066</v>
      </c>
      <c r="C52" t="str">
        <f t="shared" si="2"/>
        <v>n/a</v>
      </c>
      <c r="D52" t="str">
        <f t="shared" si="3"/>
        <v>n/a</v>
      </c>
      <c r="E52" t="str">
        <f t="shared" si="4"/>
        <v/>
      </c>
      <c r="F52">
        <f t="shared" si="5"/>
        <v>69.951923076923066</v>
      </c>
      <c r="G52">
        <f t="shared" si="0"/>
        <v>7</v>
      </c>
    </row>
    <row r="53" spans="1:7">
      <c r="A53" t="str">
        <v>University of Surrey Gymnastics</v>
      </c>
      <c r="B53">
        <f t="shared" si="1"/>
        <v>85.09615384615384</v>
      </c>
      <c r="C53" t="str">
        <f t="shared" si="2"/>
        <v/>
      </c>
      <c r="D53" t="str">
        <f t="shared" si="3"/>
        <v/>
      </c>
      <c r="E53" t="str">
        <f t="shared" si="4"/>
        <v/>
      </c>
      <c r="F53">
        <f t="shared" si="5"/>
        <v>85.09615384615384</v>
      </c>
      <c r="G53">
        <f t="shared" si="0"/>
        <v>6</v>
      </c>
    </row>
    <row r="55" spans="1:7">
      <c r="A55" t="s">
        <v>109</v>
      </c>
      <c r="B55" t="s">
        <v>115</v>
      </c>
      <c r="C55" t="s">
        <v>116</v>
      </c>
      <c r="D55" t="s">
        <v>117</v>
      </c>
      <c r="E55" t="s">
        <v>118</v>
      </c>
      <c r="F55" t="s">
        <v>120</v>
      </c>
      <c r="G55" t="s">
        <v>121</v>
      </c>
    </row>
    <row r="56" spans="1:7">
      <c r="A56" t="str">
        <f t="shared" ref="A56:A62" si="6">A47</f>
        <v>Portsmouth</v>
      </c>
      <c r="B56" t="str" cm="1">
        <f t="array" ref="B56">IFERROR(_xlfn.XLOOKUP(1, ($C$2:$C$23 = B47) * ($A$2:$A$23 = $A47), $B$2:$B$23), "")</f>
        <v>Abbie Newton</v>
      </c>
      <c r="C56" t="str" cm="1">
        <f t="array" ref="C56">IFERROR(_xlfn.XLOOKUP(1, ($C$2:$C$23 = C47) * ($A$2:$A$23 = $A47), $B$2:$B$23), "")</f>
        <v>Jake Pettman</v>
      </c>
      <c r="D56" t="str" cm="1">
        <f t="array" ref="D56">IFERROR(_xlfn.XLOOKUP(1, ($C$2:$C$23 = D47) * ($A$2:$A$23 = $A47), $B$2:$B$23), "")</f>
        <v>Irisz Kalman</v>
      </c>
      <c r="E56" t="str" cm="1">
        <f t="array" ref="E56">IFERROR(_xlfn.XLOOKUP(1, ($C$2:$C$23 = E47) * ($A$2:$A$23 = $A47), $B$2:$B$23), "")</f>
        <v>Jessica Kerswell</v>
      </c>
      <c r="F56">
        <f t="shared" ref="F56:F62" si="7">SUM(B47:E47)</f>
        <v>375.54998993153441</v>
      </c>
      <c r="G56">
        <f t="shared" ref="G56:G62" si="8">RANK(F47, F$47:F$53,0)</f>
        <v>1</v>
      </c>
    </row>
    <row r="57" spans="1:7">
      <c r="A57" t="str">
        <f t="shared" si="6"/>
        <v>Cardiff Met Gymnastics</v>
      </c>
      <c r="B57" t="str" cm="1">
        <f t="array" ref="B57">IFERROR(_xlfn.XLOOKUP(1, ($C$2:$C$23 = B48) * ($A$2:$A$23 = $A48), $B$2:$B$23), "")</f>
        <v>Amy Osborne</v>
      </c>
      <c r="C57" t="str" cm="1">
        <f t="array" ref="C57">IFERROR(_xlfn.XLOOKUP(1, ($C$2:$C$23 = C48) * ($A$2:$A$23 = $A48), $B$2:$B$23), "")</f>
        <v/>
      </c>
      <c r="D57" t="str" cm="1">
        <f t="array" ref="D57">IFERROR(_xlfn.XLOOKUP(1, ($C$2:$C$23 = D48) * ($A$2:$A$23 = $A48), $B$2:$B$23), "")</f>
        <v/>
      </c>
      <c r="E57" t="str" cm="1">
        <f t="array" ref="E57">IFERROR(_xlfn.XLOOKUP(1, ($C$2:$C$23 = E48) * ($A$2:$A$23 = $A48), $B$2:$B$23), "")</f>
        <v/>
      </c>
      <c r="F57">
        <f t="shared" si="7"/>
        <v>86.77884615384616</v>
      </c>
      <c r="G57">
        <f t="shared" si="8"/>
        <v>4</v>
      </c>
    </row>
    <row r="58" spans="1:7">
      <c r="A58" t="str">
        <f t="shared" si="6"/>
        <v>FXU (falmouth and Exeter)</v>
      </c>
      <c r="B58" t="str" cm="1">
        <f t="array" ref="B58">IFERROR(_xlfn.XLOOKUP(1, ($C$2:$C$23 = B49) * ($A$2:$A$23 = $A49), $B$2:$B$23), "")</f>
        <v>Owen Lloyd</v>
      </c>
      <c r="C58" t="str" cm="1">
        <f t="array" ref="C58">IFERROR(_xlfn.XLOOKUP(1, ($C$2:$C$23 = C49) * ($A$2:$A$23 = $A49), $B$2:$B$23), "")</f>
        <v>Hannah Tucker</v>
      </c>
      <c r="D58" t="str" cm="1">
        <f t="array" ref="D58">IFERROR(_xlfn.XLOOKUP(1, ($C$2:$C$23 = D49) * ($A$2:$A$23 = $A49), $B$2:$B$23), "")</f>
        <v/>
      </c>
      <c r="E58" t="str" cm="1">
        <f t="array" ref="E58">IFERROR(_xlfn.XLOOKUP(1, ($C$2:$C$23 = E49) * ($A$2:$A$23 = $A49), $B$2:$B$23), "")</f>
        <v/>
      </c>
      <c r="F58">
        <f t="shared" si="7"/>
        <v>170.67307692307691</v>
      </c>
      <c r="G58">
        <f t="shared" si="8"/>
        <v>3</v>
      </c>
    </row>
    <row r="59" spans="1:7">
      <c r="A59" t="str">
        <f t="shared" si="6"/>
        <v>UEA Gymnastics Club</v>
      </c>
      <c r="B59" t="str" cm="1">
        <f t="array" ref="B59">IFERROR(_xlfn.XLOOKUP(1, ($C$2:$C$23 = B50) * ($A$2:$A$23 = $A50), $B$2:$B$23), "")</f>
        <v>Alex Linley-Hill</v>
      </c>
      <c r="C59" t="str" cm="1">
        <f t="array" ref="C59">IFERROR(_xlfn.XLOOKUP(1, ($C$2:$C$23 = C50) * ($A$2:$A$23 = $A50), $B$2:$B$23), "")</f>
        <v>Claudia Mendes</v>
      </c>
      <c r="D59" t="str" cm="1">
        <f t="array" ref="D59">IFERROR(_xlfn.XLOOKUP(1, ($C$2:$C$23 = D50) * ($A$2:$A$23 = $A50), $B$2:$B$23), "")</f>
        <v>Xanthe Kingsman</v>
      </c>
      <c r="E59" t="str" cm="1">
        <f t="array" ref="E59">IFERROR(_xlfn.XLOOKUP(1, ($C$2:$C$23 = E50) * ($A$2:$A$23 = $A50), $B$2:$B$23), "")</f>
        <v/>
      </c>
      <c r="F59">
        <f t="shared" si="7"/>
        <v>226.67639951671364</v>
      </c>
      <c r="G59">
        <f t="shared" si="8"/>
        <v>2</v>
      </c>
    </row>
    <row r="60" spans="1:7">
      <c r="A60" t="str">
        <f t="shared" si="6"/>
        <v>University of London Gymnastics Club</v>
      </c>
      <c r="B60" t="str" cm="1">
        <f t="array" ref="B60">IFERROR(_xlfn.XLOOKUP(1, ($C$2:$C$23 = B51) * ($A$2:$A$23 = $A51), $B$2:$B$23), "")</f>
        <v>Skye Sands</v>
      </c>
      <c r="C60" t="str" cm="1">
        <f t="array" ref="C60">IFERROR(_xlfn.XLOOKUP(1, ($C$2:$C$23 = C51) * ($A$2:$A$23 = $A51), $B$2:$B$23), "")</f>
        <v/>
      </c>
      <c r="D60" t="str" cm="1">
        <f t="array" ref="D60">IFERROR(_xlfn.XLOOKUP(1, ($C$2:$C$23 = D51) * ($A$2:$A$23 = $A51), $B$2:$B$23), "")</f>
        <v/>
      </c>
      <c r="E60" t="str" cm="1">
        <f t="array" ref="E60">IFERROR(_xlfn.XLOOKUP(1, ($C$2:$C$23 = E51) * ($A$2:$A$23 = $A51), $B$2:$B$23), "")</f>
        <v/>
      </c>
      <c r="F60">
        <f t="shared" si="7"/>
        <v>86.057692307692307</v>
      </c>
      <c r="G60">
        <f t="shared" si="8"/>
        <v>5</v>
      </c>
    </row>
    <row r="61" spans="1:7">
      <c r="A61" t="str">
        <f t="shared" si="6"/>
        <v>University of Southampton</v>
      </c>
      <c r="B61" t="str" cm="1">
        <f t="array" ref="B61">IFERROR(_xlfn.XLOOKUP(1, ($C$2:$C$23 = B52) * ($A$2:$A$23 = $A52), $B$2:$B$23), "")</f>
        <v>Ellie Browne</v>
      </c>
      <c r="C61" t="str" cm="1">
        <f t="array" ref="C61">IFERROR(_xlfn.XLOOKUP(1, ($C$2:$C$23 = C52) * ($A$2:$A$23 = $A52), $B$2:$B$23), "")</f>
        <v/>
      </c>
      <c r="D61" t="str" cm="1">
        <f t="array" ref="D61">IFERROR(_xlfn.XLOOKUP(1, ($C$2:$C$23 = D52) * ($A$2:$A$23 = $A52), $B$2:$B$23), "")</f>
        <v/>
      </c>
      <c r="E61" t="str" cm="1">
        <f t="array" ref="E61">IFERROR(_xlfn.XLOOKUP(1, ($C$2:$C$23 = E52) * ($A$2:$A$23 = $A52), $B$2:$B$23), "")</f>
        <v/>
      </c>
      <c r="F61">
        <f t="shared" si="7"/>
        <v>69.951923076923066</v>
      </c>
      <c r="G61">
        <f t="shared" si="8"/>
        <v>7</v>
      </c>
    </row>
    <row r="62" spans="1:7">
      <c r="A62" t="str">
        <f t="shared" si="6"/>
        <v>University of Surrey Gymnastics</v>
      </c>
      <c r="B62" t="str" cm="1">
        <f t="array" ref="B62">IFERROR(_xlfn.XLOOKUP(1, ($C$2:$C$23 = B53) * ($A$2:$A$23 = $A53), $B$2:$B$23), "")</f>
        <v>Sophie Warrener</v>
      </c>
      <c r="C62" t="str" cm="1">
        <f t="array" ref="C62">IFERROR(_xlfn.XLOOKUP(1, ($C$2:$C$23 = C53) * ($A$2:$A$23 = $A53), $B$2:$B$23), "")</f>
        <v/>
      </c>
      <c r="D62" t="str" cm="1">
        <f t="array" ref="D62">IFERROR(_xlfn.XLOOKUP(1, ($C$2:$C$23 = D53) * ($A$2:$A$23 = $A53), $B$2:$B$23), "")</f>
        <v/>
      </c>
      <c r="E62" t="str" cm="1">
        <f t="array" ref="E62">IFERROR(_xlfn.XLOOKUP(1, ($C$2:$C$23 = E53) * ($A$2:$A$23 = $A53), $B$2:$B$23), "")</f>
        <v/>
      </c>
      <c r="F62">
        <f t="shared" si="7"/>
        <v>85.09615384615384</v>
      </c>
      <c r="G62">
        <f t="shared" si="8"/>
        <v>6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B146-6D1D-8C41-ABD2-1C6B33984326}">
  <dimension ref="A1:AS1048576"/>
  <sheetViews>
    <sheetView zoomScaleNormal="70" workbookViewId="0">
      <pane xSplit="3" ySplit="1" topLeftCell="AH2" activePane="bottomRight" state="frozen"/>
      <selection activeCell="K28" sqref="K28"/>
      <selection pane="topRight" activeCell="K28" sqref="K28"/>
      <selection pane="bottomLeft" activeCell="K28" sqref="K28"/>
      <selection pane="bottomRight" activeCell="AK5" sqref="AK5"/>
    </sheetView>
  </sheetViews>
  <sheetFormatPr defaultColWidth="10.83203125" defaultRowHeight="15.5" zeroHeight="1"/>
  <cols>
    <col min="1" max="1" width="22.5" style="29" bestFit="1" customWidth="1"/>
    <col min="2" max="2" width="7.33203125" style="29" customWidth="1"/>
    <col min="3" max="3" width="17.83203125" style="29" bestFit="1" customWidth="1"/>
    <col min="4" max="4" width="4.83203125" style="29" customWidth="1"/>
    <col min="5" max="6" width="9.5" style="30" customWidth="1"/>
    <col min="7" max="7" width="10.83203125" style="34" customWidth="1"/>
    <col min="8" max="8" width="10.83203125" style="33" customWidth="1"/>
    <col min="9" max="9" width="10.83203125" style="17" customWidth="1"/>
    <col min="10" max="11" width="10.83203125" style="30" customWidth="1"/>
    <col min="12" max="12" width="10.83203125" style="34" customWidth="1"/>
    <col min="13" max="13" width="10.83203125" style="33" customWidth="1"/>
    <col min="14" max="14" width="10.83203125" style="17" customWidth="1"/>
    <col min="15" max="16" width="10.83203125" style="30" customWidth="1"/>
    <col min="17" max="17" width="10.83203125" style="34" customWidth="1"/>
    <col min="18" max="18" width="10.83203125" style="33" customWidth="1"/>
    <col min="19" max="19" width="10.83203125" style="17" customWidth="1"/>
    <col min="20" max="21" width="10.83203125" style="30" customWidth="1"/>
    <col min="22" max="22" width="10.83203125" style="34" customWidth="1"/>
    <col min="23" max="24" width="10.83203125" style="30" customWidth="1"/>
    <col min="25" max="25" width="10.83203125" style="34" customWidth="1"/>
    <col min="26" max="27" width="10.83203125" style="34" hidden="1" customWidth="1"/>
    <col min="28" max="28" width="10.83203125" style="34" customWidth="1"/>
    <col min="29" max="29" width="10.83203125" style="33" customWidth="1"/>
    <col min="30" max="30" width="10.83203125" style="17" customWidth="1"/>
    <col min="31" max="32" width="10.83203125" style="30" customWidth="1"/>
    <col min="33" max="33" width="10.83203125" style="34" customWidth="1"/>
    <col min="34" max="34" width="10.83203125" style="33" customWidth="1"/>
    <col min="35" max="35" width="10.83203125" style="17" customWidth="1"/>
    <col min="36" max="37" width="10.83203125" style="30" customWidth="1"/>
    <col min="38" max="38" width="10.83203125" style="34" customWidth="1"/>
    <col min="39" max="39" width="10.83203125" style="33" customWidth="1"/>
    <col min="40" max="40" width="10.83203125" style="17" customWidth="1"/>
    <col min="41" max="43" width="10.83203125" style="34" customWidth="1"/>
    <col min="44" max="44" width="10.83203125" style="33" customWidth="1"/>
    <col min="45" max="45" width="10.83203125" style="17"/>
    <col min="46" max="16384" width="10.83203125" style="33"/>
  </cols>
  <sheetData>
    <row r="1" spans="1:45" s="27" customFormat="1" ht="116">
      <c r="A1" s="23" t="s">
        <v>0</v>
      </c>
      <c r="B1" s="23" t="s">
        <v>30</v>
      </c>
      <c r="C1" s="23" t="s">
        <v>1</v>
      </c>
      <c r="D1" s="23" t="s">
        <v>27</v>
      </c>
      <c r="E1" s="24" t="s">
        <v>65</v>
      </c>
      <c r="F1" s="24" t="s">
        <v>29</v>
      </c>
      <c r="G1" s="25" t="s">
        <v>28</v>
      </c>
      <c r="H1" s="26" t="s">
        <v>96</v>
      </c>
      <c r="I1" s="15" t="s">
        <v>3</v>
      </c>
      <c r="J1" s="24" t="s">
        <v>57</v>
      </c>
      <c r="K1" s="24" t="s">
        <v>32</v>
      </c>
      <c r="L1" s="25" t="s">
        <v>31</v>
      </c>
      <c r="M1" s="26" t="s">
        <v>96</v>
      </c>
      <c r="N1" s="15" t="s">
        <v>5</v>
      </c>
      <c r="O1" s="24" t="s">
        <v>58</v>
      </c>
      <c r="P1" s="24" t="s">
        <v>33</v>
      </c>
      <c r="Q1" s="25" t="s">
        <v>34</v>
      </c>
      <c r="R1" s="26" t="s">
        <v>96</v>
      </c>
      <c r="S1" s="15" t="s">
        <v>7</v>
      </c>
      <c r="T1" s="24" t="s">
        <v>59</v>
      </c>
      <c r="U1" s="24" t="s">
        <v>49</v>
      </c>
      <c r="V1" s="25" t="s">
        <v>51</v>
      </c>
      <c r="W1" s="24" t="s">
        <v>60</v>
      </c>
      <c r="X1" s="24" t="s">
        <v>50</v>
      </c>
      <c r="Y1" s="25" t="s">
        <v>52</v>
      </c>
      <c r="Z1" s="25" t="s">
        <v>55</v>
      </c>
      <c r="AA1" s="25" t="s">
        <v>56</v>
      </c>
      <c r="AB1" s="25" t="s">
        <v>54</v>
      </c>
      <c r="AC1" s="26" t="s">
        <v>96</v>
      </c>
      <c r="AD1" s="15" t="s">
        <v>9</v>
      </c>
      <c r="AE1" s="24" t="s">
        <v>61</v>
      </c>
      <c r="AF1" s="24" t="s">
        <v>37</v>
      </c>
      <c r="AG1" s="25" t="s">
        <v>38</v>
      </c>
      <c r="AH1" s="26" t="s">
        <v>96</v>
      </c>
      <c r="AI1" s="15" t="s">
        <v>11</v>
      </c>
      <c r="AJ1" s="24" t="s">
        <v>62</v>
      </c>
      <c r="AK1" s="24" t="s">
        <v>39</v>
      </c>
      <c r="AL1" s="25" t="s">
        <v>40</v>
      </c>
      <c r="AM1" s="26" t="s">
        <v>96</v>
      </c>
      <c r="AN1" s="15" t="s">
        <v>13</v>
      </c>
      <c r="AO1" s="25" t="s">
        <v>63</v>
      </c>
      <c r="AP1" s="25" t="s">
        <v>41</v>
      </c>
      <c r="AQ1" s="25" t="s">
        <v>43</v>
      </c>
      <c r="AR1" s="26" t="s">
        <v>96</v>
      </c>
      <c r="AS1" s="15" t="s">
        <v>42</v>
      </c>
    </row>
    <row r="2" spans="1:45">
      <c r="A2" s="41" t="s">
        <v>69</v>
      </c>
      <c r="B2">
        <v>1</v>
      </c>
      <c r="C2" s="41" t="s">
        <v>70</v>
      </c>
      <c r="E2" s="30">
        <v>0</v>
      </c>
      <c r="F2" s="30">
        <v>0</v>
      </c>
      <c r="G2" s="31">
        <f t="shared" ref="G2" si="0">(IF(E2=0, "0.00",10-E2))+F2</f>
        <v>0</v>
      </c>
      <c r="H2" s="32">
        <f>RANK(G2, $G$2:$G$90, 0)</f>
        <v>1</v>
      </c>
      <c r="I2" s="16" t="str">
        <f>IFERROR((G2/'League Calculation'!B$2)*100, "")</f>
        <v/>
      </c>
      <c r="J2" s="30">
        <v>0</v>
      </c>
      <c r="K2" s="30">
        <v>0</v>
      </c>
      <c r="L2" s="31">
        <f t="shared" ref="L2" si="1">(IF(J2=0, "0.00",10-J2))+K2</f>
        <v>0</v>
      </c>
      <c r="M2" s="32">
        <f>RANK(L2,$L$2:$L$990)</f>
        <v>1</v>
      </c>
      <c r="N2" s="16" t="str">
        <f>IFERROR((L2/'League Calculation'!F$2)*100, "")</f>
        <v/>
      </c>
      <c r="O2" s="30">
        <v>0</v>
      </c>
      <c r="P2" s="30">
        <v>0</v>
      </c>
      <c r="Q2" s="31">
        <f t="shared" ref="Q2" si="2">(IF(O2=0, "0.00",10-O2))+P2</f>
        <v>0</v>
      </c>
      <c r="R2" s="32">
        <f>RANK(Q2,$Q$2:$Q$990, 0)</f>
        <v>1</v>
      </c>
      <c r="S2" s="16" t="str">
        <f>IFERROR((Q2/'League Calculation'!G$2)*100, "")</f>
        <v/>
      </c>
      <c r="T2" s="30">
        <v>0</v>
      </c>
      <c r="U2" s="30">
        <v>0</v>
      </c>
      <c r="V2" s="31">
        <f t="shared" ref="V2" si="3">(IF(T2=0, "0.00",10-T2))+U2</f>
        <v>0</v>
      </c>
      <c r="W2" s="30">
        <v>0</v>
      </c>
      <c r="X2" s="30">
        <v>0</v>
      </c>
      <c r="Y2" s="31">
        <f t="shared" ref="Y2" si="4">(IF(W2=0, "0.00",10-W2))+X2</f>
        <v>0</v>
      </c>
      <c r="Z2" s="31">
        <f t="shared" ref="Z2" si="5">(T2+W2)/2</f>
        <v>0</v>
      </c>
      <c r="AA2" s="31">
        <f t="shared" ref="AA2" si="6">(U2+X2)/2</f>
        <v>0</v>
      </c>
      <c r="AB2" s="31">
        <f t="shared" ref="AB2" si="7">(V2+Y2)/2</f>
        <v>0</v>
      </c>
      <c r="AC2" s="32">
        <f>RANK(AB2,$AB$2:$AB$990, 0)</f>
        <v>1</v>
      </c>
      <c r="AD2" s="16" t="str">
        <f>IFERROR((AB2/'League Calculation'!C$2)*100, "")</f>
        <v/>
      </c>
      <c r="AE2" s="30">
        <v>0</v>
      </c>
      <c r="AF2" s="30">
        <v>0</v>
      </c>
      <c r="AG2" s="31">
        <f t="shared" ref="AG2" si="8">(IF(AE2=0, "0.00",10-AE2))+AF2</f>
        <v>0</v>
      </c>
      <c r="AH2" s="32">
        <f>RANK(AG2,$AG$2:$AG$5990, 0)</f>
        <v>1</v>
      </c>
      <c r="AI2" s="16" t="str">
        <f>IFERROR((AG2/'League Calculation'!E$2)*100, "")</f>
        <v/>
      </c>
      <c r="AK2" s="30">
        <v>0</v>
      </c>
      <c r="AL2" s="31">
        <f t="shared" ref="AL2" si="9">(IF(AJ2=0, "0.00",10-AJ2))+AK2</f>
        <v>0</v>
      </c>
      <c r="AM2" s="32">
        <f>RANK(AL2,$AL$2:$AL$5990, 0)</f>
        <v>1</v>
      </c>
      <c r="AN2" s="16" t="str">
        <f>IFERROR((AL2/'League Calculation'!D$2)*100, "")</f>
        <v/>
      </c>
      <c r="AO2" s="31">
        <f t="shared" ref="AO2" si="10">E2+J2+O2+T2+AE2+AJ2</f>
        <v>0</v>
      </c>
      <c r="AP2" s="31">
        <f t="shared" ref="AP2" si="11">F2+K2+P2+X2+AF2+AK2</f>
        <v>0</v>
      </c>
      <c r="AQ2" s="31">
        <f t="shared" ref="AQ2" si="12">G2+L2+Q2+AB2+AG2+AL2</f>
        <v>0</v>
      </c>
      <c r="AR2" s="32">
        <f>RANK(AQ2,$AQ$2:$AQ$59990, 0)</f>
        <v>1</v>
      </c>
      <c r="AS2" s="16" t="str">
        <f>IFERROR((AQ2/'League Calculation'!J$2)*100, "")</f>
        <v/>
      </c>
    </row>
    <row r="3" spans="1:45"/>
    <row r="4" spans="1:45"/>
    <row r="5" spans="1:45"/>
    <row r="6" spans="1:45"/>
    <row r="7" spans="1:45"/>
    <row r="8" spans="1:45"/>
    <row r="9" spans="1:45"/>
    <row r="10" spans="1:45"/>
    <row r="11" spans="1:45"/>
    <row r="12" spans="1:45"/>
    <row r="13" spans="1:45"/>
    <row r="14" spans="1:45"/>
    <row r="15" spans="1:45"/>
    <row r="16" spans="1:45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8:9"/>
    <row r="1048562" spans="8:9"/>
    <row r="1048563" spans="8:9"/>
    <row r="1048564" spans="8:9"/>
    <row r="1048565" spans="8:9"/>
    <row r="1048566" spans="8:9">
      <c r="H1048566" s="33" t="e">
        <f>SUM(#REF!)</f>
        <v>#REF!</v>
      </c>
      <c r="I1048566" s="17">
        <f>SUM(I2:I1048565)</f>
        <v>0</v>
      </c>
    </row>
    <row r="1048567" spans="8:9"/>
    <row r="1048568" spans="8:9"/>
    <row r="1048569" spans="8:9"/>
    <row r="1048570" spans="8:9"/>
    <row r="1048571" spans="8:9"/>
    <row r="1048572" spans="8:9"/>
    <row r="1048573" spans="8:9"/>
    <row r="1048574" spans="8:9"/>
    <row r="1048575" spans="8:9"/>
    <row r="1048576" spans="8:9"/>
  </sheetData>
  <sheetProtection selectLockedCells="1"/>
  <autoFilter ref="A1:A1048566" xr:uid="{0F782190-8BA9-DD4F-8251-606AFCF85E9D}"/>
  <sortState xmlns:xlrd2="http://schemas.microsoft.com/office/spreadsheetml/2017/richdata2" ref="A2:AS2">
    <sortCondition ref="AR2"/>
  </sortState>
  <phoneticPr fontId="2" type="noConversion"/>
  <conditionalFormatting sqref="AR2:AR1048576 AM2:AM1048576 AH2:AH1048576 AC2:AC1048576 R2:R1048576 M2:M1048576 H1:H1048576">
    <cfRule type="cellIs" dxfId="44" priority="37" operator="equal">
      <formula>3</formula>
    </cfRule>
    <cfRule type="cellIs" dxfId="43" priority="38" operator="equal">
      <formula>2</formula>
    </cfRule>
    <cfRule type="cellIs" dxfId="42" priority="39" operator="equal">
      <formula>1</formula>
    </cfRule>
  </conditionalFormatting>
  <conditionalFormatting sqref="M1">
    <cfRule type="cellIs" dxfId="41" priority="16" operator="equal">
      <formula>3</formula>
    </cfRule>
    <cfRule type="cellIs" dxfId="40" priority="17" operator="equal">
      <formula>2</formula>
    </cfRule>
    <cfRule type="cellIs" dxfId="39" priority="18" operator="equal">
      <formula>1</formula>
    </cfRule>
  </conditionalFormatting>
  <conditionalFormatting sqref="R1">
    <cfRule type="cellIs" dxfId="38" priority="13" operator="equal">
      <formula>3</formula>
    </cfRule>
    <cfRule type="cellIs" dxfId="37" priority="14" operator="equal">
      <formula>2</formula>
    </cfRule>
    <cfRule type="cellIs" dxfId="36" priority="15" operator="equal">
      <formula>1</formula>
    </cfRule>
  </conditionalFormatting>
  <conditionalFormatting sqref="AC1">
    <cfRule type="cellIs" dxfId="35" priority="10" operator="equal">
      <formula>3</formula>
    </cfRule>
    <cfRule type="cellIs" dxfId="34" priority="11" operator="equal">
      <formula>2</formula>
    </cfRule>
    <cfRule type="cellIs" dxfId="33" priority="12" operator="equal">
      <formula>1</formula>
    </cfRule>
  </conditionalFormatting>
  <conditionalFormatting sqref="AH1">
    <cfRule type="cellIs" dxfId="32" priority="7" operator="equal">
      <formula>3</formula>
    </cfRule>
    <cfRule type="cellIs" dxfId="31" priority="8" operator="equal">
      <formula>2</formula>
    </cfRule>
    <cfRule type="cellIs" dxfId="30" priority="9" operator="equal">
      <formula>1</formula>
    </cfRule>
  </conditionalFormatting>
  <conditionalFormatting sqref="AM1">
    <cfRule type="cellIs" dxfId="29" priority="4" operator="equal">
      <formula>3</formula>
    </cfRule>
    <cfRule type="cellIs" dxfId="28" priority="5" operator="equal">
      <formula>2</formula>
    </cfRule>
    <cfRule type="cellIs" dxfId="27" priority="6" operator="equal">
      <formula>1</formula>
    </cfRule>
  </conditionalFormatting>
  <conditionalFormatting sqref="AR1">
    <cfRule type="cellIs" dxfId="26" priority="1" operator="equal">
      <formula>3</formula>
    </cfRule>
    <cfRule type="cellIs" dxfId="25" priority="2" operator="equal">
      <formula>2</formula>
    </cfRule>
    <cfRule type="cellIs" dxfId="24" priority="3" operator="equal">
      <formula>1</formula>
    </cfRule>
  </conditionalFormatting>
  <dataValidations count="1">
    <dataValidation type="list" allowBlank="1" showInputMessage="1" showErrorMessage="1" sqref="D2:D1048576" xr:uid="{8595E5F8-C42F-274D-96BE-577CDB6AAFFC}">
      <formula1>"Yes"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AD45-6A8E-B642-B441-251815FC196C}">
  <dimension ref="A1:AM1048563"/>
  <sheetViews>
    <sheetView zoomScale="108" zoomScaleNormal="80" workbookViewId="0">
      <pane xSplit="3" ySplit="1" topLeftCell="AK2" activePane="bottomRight" state="frozen"/>
      <selection activeCell="K28" sqref="K28"/>
      <selection pane="topRight" activeCell="K28" sqref="K28"/>
      <selection pane="bottomLeft" activeCell="K28" sqref="K28"/>
      <selection pane="bottomRight" activeCell="AM2" sqref="AM2"/>
    </sheetView>
  </sheetViews>
  <sheetFormatPr defaultColWidth="10.83203125" defaultRowHeight="15.5"/>
  <cols>
    <col min="1" max="1" width="33" style="5" bestFit="1" customWidth="1"/>
    <col min="2" max="2" width="8.5" style="5" customWidth="1"/>
    <col min="3" max="3" width="22" style="5" bestFit="1" customWidth="1"/>
    <col min="4" max="4" width="5" style="5" customWidth="1"/>
    <col min="5" max="6" width="10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6" width="10.83203125" style="7"/>
    <col min="17" max="17" width="10.83203125" style="10"/>
    <col min="18" max="18" width="10.83203125" style="11"/>
    <col min="19" max="19" width="10.83203125" style="17"/>
    <col min="20" max="21" width="10.83203125" style="7"/>
    <col min="22" max="22" width="10.83203125" style="10"/>
    <col min="23" max="23" width="10.83203125" style="11"/>
    <col min="24" max="24" width="10.83203125" style="17"/>
    <col min="25" max="26" width="10.83203125" style="7"/>
    <col min="27" max="27" width="10.83203125" style="10"/>
    <col min="28" max="28" width="10.83203125" style="11"/>
    <col min="29" max="29" width="10.83203125" style="17"/>
    <col min="30" max="31" width="10.83203125" style="7"/>
    <col min="32" max="32" width="10.83203125" style="10"/>
    <col min="33" max="33" width="10.83203125" style="11"/>
    <col min="34" max="34" width="10.83203125" style="17"/>
    <col min="35" max="37" width="10.83203125" style="10"/>
    <col min="38" max="38" width="10.83203125" style="11"/>
    <col min="39" max="39" width="10.83203125" style="17"/>
    <col min="40" max="16384" width="10.83203125" style="5"/>
  </cols>
  <sheetData>
    <row r="1" spans="1:39" s="4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57</v>
      </c>
      <c r="K1" s="6" t="s">
        <v>32</v>
      </c>
      <c r="L1" s="12" t="s">
        <v>31</v>
      </c>
      <c r="M1" s="13" t="s">
        <v>96</v>
      </c>
      <c r="N1" s="15" t="s">
        <v>5</v>
      </c>
      <c r="O1" s="6" t="s">
        <v>58</v>
      </c>
      <c r="P1" s="6" t="s">
        <v>33</v>
      </c>
      <c r="Q1" s="12" t="s">
        <v>34</v>
      </c>
      <c r="R1" s="13" t="s">
        <v>96</v>
      </c>
      <c r="S1" s="15" t="s">
        <v>7</v>
      </c>
      <c r="T1" s="6" t="s">
        <v>64</v>
      </c>
      <c r="U1" s="6" t="s">
        <v>35</v>
      </c>
      <c r="V1" s="12" t="s">
        <v>36</v>
      </c>
      <c r="W1" s="13" t="s">
        <v>96</v>
      </c>
      <c r="X1" s="15" t="s">
        <v>9</v>
      </c>
      <c r="Y1" s="6" t="s">
        <v>61</v>
      </c>
      <c r="Z1" s="6" t="s">
        <v>37</v>
      </c>
      <c r="AA1" s="12" t="s">
        <v>38</v>
      </c>
      <c r="AB1" s="13" t="s">
        <v>96</v>
      </c>
      <c r="AC1" s="15" t="s">
        <v>11</v>
      </c>
      <c r="AD1" s="6" t="s">
        <v>62</v>
      </c>
      <c r="AE1" s="6" t="s">
        <v>39</v>
      </c>
      <c r="AF1" s="12" t="s">
        <v>40</v>
      </c>
      <c r="AG1" s="13" t="s">
        <v>96</v>
      </c>
      <c r="AH1" s="15" t="s">
        <v>13</v>
      </c>
      <c r="AI1" s="12" t="s">
        <v>63</v>
      </c>
      <c r="AJ1" s="12" t="s">
        <v>41</v>
      </c>
      <c r="AK1" s="12" t="s">
        <v>43</v>
      </c>
      <c r="AL1" s="13" t="s">
        <v>96</v>
      </c>
      <c r="AM1" s="15" t="s">
        <v>42</v>
      </c>
    </row>
    <row r="2" spans="1:39" s="36" customFormat="1">
      <c r="A2" s="41" t="s">
        <v>69</v>
      </c>
      <c r="B2">
        <v>4</v>
      </c>
      <c r="C2" s="41" t="s">
        <v>72</v>
      </c>
      <c r="D2"/>
      <c r="E2" s="30">
        <v>0.9</v>
      </c>
      <c r="F2" s="30">
        <v>3</v>
      </c>
      <c r="G2" s="31">
        <f>(IF(E2=0, "0.00",10-E2))+F2</f>
        <v>12.1</v>
      </c>
      <c r="H2" s="32">
        <f>RANK(G2, $G$2:$G$87, 0)</f>
        <v>1</v>
      </c>
      <c r="I2" s="16">
        <f>IFERROR((G2/'League Calculation'!B$4)*100, "")</f>
        <v>100</v>
      </c>
      <c r="J2" s="30">
        <v>0</v>
      </c>
      <c r="K2" s="30">
        <v>0</v>
      </c>
      <c r="L2" s="31">
        <f>(IF(J2=0, "0.00",10-J2))+K2</f>
        <v>0</v>
      </c>
      <c r="M2" s="32">
        <f>RANK(L2,$L$2:$L$987)</f>
        <v>1</v>
      </c>
      <c r="N2" s="16" t="str">
        <f>IFERROR((L2/'League Calculation'!F$4)*100, "")</f>
        <v/>
      </c>
      <c r="O2" s="30">
        <v>0</v>
      </c>
      <c r="P2" s="30">
        <v>0</v>
      </c>
      <c r="Q2" s="31">
        <f>(IF(O2=0, "0.00",10-O2))+P2</f>
        <v>0</v>
      </c>
      <c r="R2" s="32">
        <f>RANK(Q2,$Q$2:$Q$987, 0)</f>
        <v>4</v>
      </c>
      <c r="S2" s="16">
        <f>IFERROR((Q2/'League Calculation'!G$4)*100, "")</f>
        <v>0</v>
      </c>
      <c r="T2" s="30">
        <v>0.3</v>
      </c>
      <c r="U2" s="30">
        <v>1.8</v>
      </c>
      <c r="V2" s="31">
        <f>(IF(T2=0, "0.00",10-T2))+U2</f>
        <v>11.5</v>
      </c>
      <c r="W2" s="32">
        <f>RANK(V2,$V$2:$V$487, 0)</f>
        <v>1</v>
      </c>
      <c r="X2" s="16">
        <f>IFERROR((V2/'League Calculation'!C$4)*100, "")</f>
        <v>100</v>
      </c>
      <c r="Y2" s="30">
        <v>1.9</v>
      </c>
      <c r="Z2" s="30">
        <v>2.4</v>
      </c>
      <c r="AA2" s="31">
        <f>(IF(Y2=0, "0.00",10-Y2))+Z2</f>
        <v>10.5</v>
      </c>
      <c r="AB2" s="32">
        <f>RANK(AA2,$AA$2:$AA$5987, 0)</f>
        <v>3</v>
      </c>
      <c r="AC2" s="16">
        <f>IFERROR((AA2/'League Calculation'!E$4)*100, "")</f>
        <v>93.749999999999986</v>
      </c>
      <c r="AD2" s="30">
        <v>1.9</v>
      </c>
      <c r="AE2" s="30">
        <v>1.5</v>
      </c>
      <c r="AF2" s="31">
        <f>(IF(AD2=0, "0.00",10-AD2))+AE2</f>
        <v>9.6</v>
      </c>
      <c r="AG2" s="32">
        <f>RANK(AF2,$AF$2:$AF$5987, 0)</f>
        <v>1</v>
      </c>
      <c r="AH2" s="16">
        <f>IFERROR((AF2/'League Calculation'!D$4)*100, "")</f>
        <v>100</v>
      </c>
      <c r="AI2" s="31">
        <f t="shared" ref="AI2:AK6" si="0">E2+J2+O2+T2+Y2+AD2</f>
        <v>5</v>
      </c>
      <c r="AJ2" s="31">
        <f t="shared" si="0"/>
        <v>8.6999999999999993</v>
      </c>
      <c r="AK2" s="31">
        <f t="shared" si="0"/>
        <v>43.7</v>
      </c>
      <c r="AL2" s="32">
        <f>RANK(AK2,$AK$2:$AK$59987, 0)</f>
        <v>1</v>
      </c>
      <c r="AM2" s="16">
        <f>IFERROR((AK2/'League Calculation'!J$4)*100, "")</f>
        <v>100</v>
      </c>
    </row>
    <row r="3" spans="1:39" s="29" customFormat="1">
      <c r="A3" s="41" t="s">
        <v>75</v>
      </c>
      <c r="B3">
        <v>1</v>
      </c>
      <c r="C3" s="41" t="s">
        <v>97</v>
      </c>
      <c r="D3"/>
      <c r="E3" s="30">
        <v>2.9</v>
      </c>
      <c r="F3" s="30">
        <v>3</v>
      </c>
      <c r="G3" s="31">
        <f>(IF(E3=0, "0.00",10-E3))+F3</f>
        <v>10.1</v>
      </c>
      <c r="H3" s="32">
        <f>RANK(G3, $G$2:$G$87, 0)</f>
        <v>5</v>
      </c>
      <c r="I3" s="16">
        <f>IFERROR((G3/'League Calculation'!B$4)*100, "")</f>
        <v>83.471074380165291</v>
      </c>
      <c r="J3" s="30">
        <v>0</v>
      </c>
      <c r="K3" s="30">
        <v>0</v>
      </c>
      <c r="L3" s="31">
        <f>(IF(J3=0, "0.00",10-J3))+K3</f>
        <v>0</v>
      </c>
      <c r="M3" s="32">
        <f>RANK(L3,$L$2:$L$987)</f>
        <v>1</v>
      </c>
      <c r="N3" s="16" t="str">
        <f>IFERROR((L3/'League Calculation'!F$4)*100, "")</f>
        <v/>
      </c>
      <c r="O3" s="30">
        <v>1.9</v>
      </c>
      <c r="P3" s="30">
        <v>2.7</v>
      </c>
      <c r="Q3" s="31">
        <f>(IF(O3=0, "0.00",10-O3))+P3</f>
        <v>10.8</v>
      </c>
      <c r="R3" s="32">
        <f>RANK(Q3,$Q$2:$Q$987, 0)</f>
        <v>1</v>
      </c>
      <c r="S3" s="16">
        <f>IFERROR((Q3/'League Calculation'!G$4)*100, "")</f>
        <v>100</v>
      </c>
      <c r="T3" s="30">
        <v>0.3</v>
      </c>
      <c r="U3" s="30">
        <v>1.6</v>
      </c>
      <c r="V3" s="31">
        <f>(IF(T3=0, "0.00",10-T3))+U3</f>
        <v>11.299999999999999</v>
      </c>
      <c r="W3" s="32">
        <f>RANK(V3,$V$2:$V$487, 0)</f>
        <v>2</v>
      </c>
      <c r="X3" s="16">
        <f>IFERROR((V3/'League Calculation'!C$4)*100, "")</f>
        <v>98.260869565217376</v>
      </c>
      <c r="Y3" s="30">
        <v>1</v>
      </c>
      <c r="Z3" s="30">
        <v>2.2000000000000002</v>
      </c>
      <c r="AA3" s="31">
        <f>(IF(Y3=0, "0.00",10-Y3))+Z3</f>
        <v>11.2</v>
      </c>
      <c r="AB3" s="32">
        <v>1</v>
      </c>
      <c r="AC3" s="16">
        <f>IFERROR((AA3/'League Calculation'!E$4)*100, "")</f>
        <v>99.999999999999986</v>
      </c>
      <c r="AD3" s="30">
        <v>0</v>
      </c>
      <c r="AE3" s="30">
        <v>0</v>
      </c>
      <c r="AF3" s="31">
        <f>(IF(AD3=0, "0.00",10-AD3))+AE3</f>
        <v>0</v>
      </c>
      <c r="AG3" s="32">
        <f>RANK(AF3,$AF$2:$AF$5987, 0)</f>
        <v>3</v>
      </c>
      <c r="AH3" s="16">
        <f>IFERROR((AF3/'League Calculation'!D$4)*100, "")</f>
        <v>0</v>
      </c>
      <c r="AI3" s="31">
        <f t="shared" si="0"/>
        <v>6.1</v>
      </c>
      <c r="AJ3" s="31">
        <f t="shared" si="0"/>
        <v>9.5</v>
      </c>
      <c r="AK3" s="31">
        <f t="shared" si="0"/>
        <v>43.399999999999991</v>
      </c>
      <c r="AL3" s="32">
        <f>RANK(AK3,$AK$2:$AK$59987, 0)</f>
        <v>2</v>
      </c>
      <c r="AM3" s="16">
        <f>IFERROR((AK3/'League Calculation'!J$4)*100, "")</f>
        <v>99.313501144164732</v>
      </c>
    </row>
    <row r="4" spans="1:39" s="29" customFormat="1">
      <c r="A4" s="41" t="s">
        <v>124</v>
      </c>
      <c r="B4">
        <v>2</v>
      </c>
      <c r="C4" s="41" t="s">
        <v>126</v>
      </c>
      <c r="D4"/>
      <c r="E4" s="30">
        <v>1.4</v>
      </c>
      <c r="F4" s="30">
        <v>2.7</v>
      </c>
      <c r="G4" s="31">
        <f>(IF(E4=0, "0.00",10-E4))+F4</f>
        <v>11.3</v>
      </c>
      <c r="H4" s="32">
        <f>RANK(G4, $G$2:$G$87, 0)</f>
        <v>2</v>
      </c>
      <c r="I4" s="16">
        <f>IFERROR((G4/'League Calculation'!B$4)*100, "")</f>
        <v>93.388429752066131</v>
      </c>
      <c r="J4" s="30">
        <v>0</v>
      </c>
      <c r="K4" s="30">
        <v>0</v>
      </c>
      <c r="L4" s="31">
        <f>(IF(J4=0, "0.00",10-J4))+K4</f>
        <v>0</v>
      </c>
      <c r="M4" s="32">
        <f>RANK(L4,$L$2:$L$987)</f>
        <v>1</v>
      </c>
      <c r="N4" s="16" t="str">
        <f>IFERROR((L4/'League Calculation'!F$4)*100, "")</f>
        <v/>
      </c>
      <c r="O4" s="30">
        <v>3.1</v>
      </c>
      <c r="P4" s="30">
        <v>2.1</v>
      </c>
      <c r="Q4" s="31">
        <f>(IF(O4=0, "0.00",10-O4))+P4</f>
        <v>9</v>
      </c>
      <c r="R4" s="32">
        <f>RANK(Q4,$Q$2:$Q$987, 0)</f>
        <v>3</v>
      </c>
      <c r="S4" s="16">
        <f>IFERROR((Q4/'League Calculation'!G$4)*100, "")</f>
        <v>83.333333333333329</v>
      </c>
      <c r="T4" s="30">
        <v>0.6</v>
      </c>
      <c r="U4" s="30">
        <v>1.6</v>
      </c>
      <c r="V4" s="31">
        <f>(IF(T4=0, "0.00",10-T4))+U4</f>
        <v>11</v>
      </c>
      <c r="W4" s="32">
        <f>RANK(V4,$V$2:$V$487, 0)</f>
        <v>4</v>
      </c>
      <c r="X4" s="16">
        <f>IFERROR((V4/'League Calculation'!C$4)*100, "")</f>
        <v>95.652173913043484</v>
      </c>
      <c r="Y4" s="30">
        <v>1.2</v>
      </c>
      <c r="Z4" s="30">
        <v>2.4</v>
      </c>
      <c r="AA4" s="31">
        <f>(IF(Y4=0, "0.00",10-Y4))+Z4</f>
        <v>11.200000000000001</v>
      </c>
      <c r="AB4" s="32">
        <f>RANK(AA4,$AA$2:$AA$5987, 0)</f>
        <v>1</v>
      </c>
      <c r="AC4" s="16">
        <f>IFERROR((AA4/'League Calculation'!E$4)*100, "")</f>
        <v>100</v>
      </c>
      <c r="AD4" s="30">
        <v>0</v>
      </c>
      <c r="AE4" s="30">
        <v>0</v>
      </c>
      <c r="AF4" s="31">
        <f>(IF(AD4=0, "0.00",10-AD4))+AE4</f>
        <v>0</v>
      </c>
      <c r="AG4" s="32">
        <f>RANK(AF4,$AF$2:$AF$5987, 0)</f>
        <v>3</v>
      </c>
      <c r="AH4" s="16">
        <f>IFERROR((AF4/'League Calculation'!D$4)*100, "")</f>
        <v>0</v>
      </c>
      <c r="AI4" s="31">
        <f t="shared" si="0"/>
        <v>6.3</v>
      </c>
      <c r="AJ4" s="31">
        <f t="shared" si="0"/>
        <v>8.8000000000000007</v>
      </c>
      <c r="AK4" s="31">
        <f t="shared" si="0"/>
        <v>42.5</v>
      </c>
      <c r="AL4" s="32">
        <f>RANK(AK4,$AK$2:$AK$59987, 0)</f>
        <v>3</v>
      </c>
      <c r="AM4" s="16">
        <f>IFERROR((AK4/'League Calculation'!J$4)*100, "")</f>
        <v>97.254004576659042</v>
      </c>
    </row>
    <row r="5" spans="1:39" s="29" customFormat="1">
      <c r="A5" s="41" t="s">
        <v>98</v>
      </c>
      <c r="B5">
        <v>3</v>
      </c>
      <c r="C5" s="41" t="s">
        <v>99</v>
      </c>
      <c r="D5" s="41"/>
      <c r="E5" s="30">
        <v>2.2999999999999998</v>
      </c>
      <c r="F5" s="30">
        <v>2.8</v>
      </c>
      <c r="G5" s="31">
        <f>(IF(E5=0, "0.00",10-E5))+F5</f>
        <v>10.5</v>
      </c>
      <c r="H5" s="32">
        <f>RANK(G5, $G$2:$G$87, 0)</f>
        <v>3</v>
      </c>
      <c r="I5" s="16">
        <f>IFERROR((G5/'League Calculation'!B$4)*100, "")</f>
        <v>86.776859504132233</v>
      </c>
      <c r="J5" s="30">
        <v>0</v>
      </c>
      <c r="K5" s="30">
        <v>0</v>
      </c>
      <c r="L5" s="31">
        <f>(IF(J5=0, "0.00",10-J5))+K5</f>
        <v>0</v>
      </c>
      <c r="M5" s="32">
        <f>RANK(L5,$L$2:$L$987)</f>
        <v>1</v>
      </c>
      <c r="N5" s="16" t="str">
        <f>IFERROR((L5/'League Calculation'!F$4)*100, "")</f>
        <v/>
      </c>
      <c r="O5" s="30">
        <v>2.2999999999999998</v>
      </c>
      <c r="P5" s="30">
        <v>2.5</v>
      </c>
      <c r="Q5" s="31">
        <f>(IF(O5=0, "0.00",10-O5))+P5</f>
        <v>10.199999999999999</v>
      </c>
      <c r="R5" s="32">
        <f>RANK(Q5,$Q$2:$Q$987, 0)</f>
        <v>2</v>
      </c>
      <c r="S5" s="16">
        <f>IFERROR((Q5/'League Calculation'!G$4)*100, "")</f>
        <v>94.444444444444429</v>
      </c>
      <c r="T5" s="30">
        <v>0.5</v>
      </c>
      <c r="U5" s="30">
        <v>1.6</v>
      </c>
      <c r="V5" s="31">
        <f>(IF(T5=0, "0.00",10-T5))+U5</f>
        <v>11.1</v>
      </c>
      <c r="W5" s="32">
        <f>RANK(V5,$V$2:$V$487, 0)</f>
        <v>3</v>
      </c>
      <c r="X5" s="16">
        <f>IFERROR((V5/'League Calculation'!C$4)*100, "")</f>
        <v>96.521739130434781</v>
      </c>
      <c r="Y5" s="30">
        <v>0</v>
      </c>
      <c r="Z5" s="30">
        <v>0</v>
      </c>
      <c r="AA5" s="31">
        <f>(IF(Y5=0, "0.00",10-Y5))+Z5</f>
        <v>0</v>
      </c>
      <c r="AB5" s="32">
        <f>RANK(AA5,$AA$2:$AA$5987, 0)</f>
        <v>4</v>
      </c>
      <c r="AC5" s="16">
        <f>IFERROR((AA5/'League Calculation'!E$4)*100, "")</f>
        <v>0</v>
      </c>
      <c r="AD5" s="30">
        <v>7.5</v>
      </c>
      <c r="AE5" s="30">
        <v>1.2</v>
      </c>
      <c r="AF5" s="31">
        <f>(IF(AD5=0, "0.00",10-AD5))+AE5</f>
        <v>3.7</v>
      </c>
      <c r="AG5" s="32">
        <f>RANK(AF5,$AF$2:$AF$5987, 0)</f>
        <v>2</v>
      </c>
      <c r="AH5" s="16">
        <f>IFERROR((AF5/'League Calculation'!D$4)*100, "")</f>
        <v>38.541666666666671</v>
      </c>
      <c r="AI5" s="31">
        <f t="shared" si="0"/>
        <v>12.6</v>
      </c>
      <c r="AJ5" s="31">
        <f t="shared" si="0"/>
        <v>8.1</v>
      </c>
      <c r="AK5" s="31">
        <f t="shared" si="0"/>
        <v>35.5</v>
      </c>
      <c r="AL5" s="32">
        <f>RANK(AK5,$AK$2:$AK$59987, 0)</f>
        <v>4</v>
      </c>
      <c r="AM5" s="16">
        <f>IFERROR((AK5/'League Calculation'!J$4)*100, "")</f>
        <v>81.235697940503428</v>
      </c>
    </row>
    <row r="6" spans="1:39" s="29" customFormat="1">
      <c r="A6" s="41" t="s">
        <v>125</v>
      </c>
      <c r="B6">
        <v>5</v>
      </c>
      <c r="C6" s="41" t="s">
        <v>127</v>
      </c>
      <c r="D6"/>
      <c r="E6" s="5">
        <v>2.8</v>
      </c>
      <c r="F6" s="5">
        <v>3.2</v>
      </c>
      <c r="G6" s="31">
        <f>(IF(E6=0, "0.00",10-E6))+F6</f>
        <v>10.4</v>
      </c>
      <c r="H6" s="32">
        <f>RANK(G6, $G$2:$G$87, 0)</f>
        <v>4</v>
      </c>
      <c r="I6" s="16">
        <f>IFERROR((G6/'League Calculation'!B$4)*100, "")</f>
        <v>85.950413223140501</v>
      </c>
      <c r="J6" s="7">
        <v>0</v>
      </c>
      <c r="K6" s="7">
        <v>0</v>
      </c>
      <c r="L6" s="31">
        <f>(IF(J6=0, "0.00",10-J6))+K6</f>
        <v>0</v>
      </c>
      <c r="M6" s="32">
        <f>RANK(L6,$L$2:$L$987)</f>
        <v>1</v>
      </c>
      <c r="N6" s="16" t="str">
        <f>IFERROR((L6/'League Calculation'!F$4)*100, "")</f>
        <v/>
      </c>
      <c r="O6" s="7">
        <v>0</v>
      </c>
      <c r="P6" s="7">
        <v>0</v>
      </c>
      <c r="Q6" s="31">
        <f>(IF(O6=0, "0.00",10-O6))+P6</f>
        <v>0</v>
      </c>
      <c r="R6" s="32">
        <f>RANK(Q6,$Q$2:$Q$987, 0)</f>
        <v>4</v>
      </c>
      <c r="S6" s="16">
        <f>IFERROR((Q6/'League Calculation'!G$4)*100, "")</f>
        <v>0</v>
      </c>
      <c r="T6" s="30">
        <v>1</v>
      </c>
      <c r="U6" s="30">
        <v>1.6</v>
      </c>
      <c r="V6" s="31">
        <f>(IF(T6=0, "0.00",10-T6))+U6</f>
        <v>10.6</v>
      </c>
      <c r="W6" s="32">
        <f>RANK(V6,$V$2:$V$487, 0)</f>
        <v>5</v>
      </c>
      <c r="X6" s="16">
        <f>IFERROR((V6/'League Calculation'!C$4)*100, "")</f>
        <v>92.173913043478265</v>
      </c>
      <c r="Y6" s="7">
        <v>0</v>
      </c>
      <c r="Z6" s="7">
        <v>0</v>
      </c>
      <c r="AA6" s="31">
        <f>(IF(Y6=0, "0.00",10-Y6))+Z6</f>
        <v>0</v>
      </c>
      <c r="AB6" s="32">
        <f>RANK(AA6,$AA$2:$AA$5987, 0)</f>
        <v>4</v>
      </c>
      <c r="AC6" s="16">
        <f>IFERROR((AA6/'League Calculation'!E$4)*100, "")</f>
        <v>0</v>
      </c>
      <c r="AD6" s="7">
        <v>0</v>
      </c>
      <c r="AE6" s="7">
        <v>0</v>
      </c>
      <c r="AF6" s="31">
        <f>(IF(AD6=0, "0.00",10-AD6))+AE6</f>
        <v>0</v>
      </c>
      <c r="AG6" s="32">
        <f>RANK(AF6,$AF$2:$AF$5987, 0)</f>
        <v>3</v>
      </c>
      <c r="AH6" s="16">
        <f>IFERROR((AF6/'League Calculation'!D$4)*100, "")</f>
        <v>0</v>
      </c>
      <c r="AI6" s="31">
        <f t="shared" si="0"/>
        <v>3.8</v>
      </c>
      <c r="AJ6" s="31">
        <f t="shared" si="0"/>
        <v>4.8000000000000007</v>
      </c>
      <c r="AK6" s="31">
        <f t="shared" si="0"/>
        <v>21</v>
      </c>
      <c r="AL6" s="32">
        <f>RANK(AK6,$AK$2:$AK$59987, 0)</f>
        <v>5</v>
      </c>
      <c r="AM6" s="16">
        <f>IFERROR((AK6/'League Calculation'!J$4)*100, "")</f>
        <v>48.054919908466815</v>
      </c>
    </row>
    <row r="1048563" spans="8:9">
      <c r="H1048563" s="11">
        <f>SUM(H5)</f>
        <v>3</v>
      </c>
      <c r="I1048563" s="17">
        <f>SUM(I2:I1048562)</f>
        <v>449.5867768595042</v>
      </c>
    </row>
  </sheetData>
  <sheetProtection selectLockedCells="1"/>
  <autoFilter ref="A1:A1048563" xr:uid="{7B2C7E3B-254D-6A45-8508-C5CEBB562E1E}"/>
  <sortState xmlns:xlrd2="http://schemas.microsoft.com/office/spreadsheetml/2017/richdata2" ref="A2:AM1048563">
    <sortCondition ref="AL2:AL1048563"/>
  </sortState>
  <conditionalFormatting sqref="AL1:AL1048576 AG1:AG1048576 AB1:AB1048576 W1:W1048576 R1:R1048576 M1:M1048576 H1:H1048576">
    <cfRule type="cellIs" dxfId="23" priority="19" operator="equal">
      <formula>3</formula>
    </cfRule>
    <cfRule type="cellIs" dxfId="22" priority="20" operator="equal">
      <formula>2</formula>
    </cfRule>
    <cfRule type="cellIs" dxfId="21" priority="21" operator="equal">
      <formula>1</formula>
    </cfRule>
  </conditionalFormatting>
  <dataValidations count="1">
    <dataValidation type="list" allowBlank="1" showInputMessage="1" showErrorMessage="1" sqref="D2:D1048576" xr:uid="{55F82778-1074-DF4E-AFA2-A676B28A45E3}">
      <formula1>"Yes"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A8121-8ABD-354D-ACDA-548D4998B455}">
  <dimension ref="A1:AC1048564"/>
  <sheetViews>
    <sheetView zoomScale="85" zoomScaleNormal="85" workbookViewId="0">
      <pane xSplit="3" ySplit="1" topLeftCell="S2" activePane="bottomRight" state="frozen"/>
      <selection activeCell="K28" sqref="K28"/>
      <selection pane="topRight" activeCell="K28" sqref="K28"/>
      <selection pane="bottomLeft" activeCell="K28" sqref="K28"/>
      <selection pane="bottomRight" activeCell="W15" sqref="W15"/>
    </sheetView>
  </sheetViews>
  <sheetFormatPr defaultColWidth="10.83203125" defaultRowHeight="15.5"/>
  <cols>
    <col min="1" max="1" width="30.5" style="5" bestFit="1" customWidth="1"/>
    <col min="2" max="2" width="8.33203125" style="5" customWidth="1"/>
    <col min="3" max="3" width="19" style="5" bestFit="1" customWidth="1"/>
    <col min="4" max="4" width="4.83203125" style="5" customWidth="1"/>
    <col min="5" max="5" width="9.5" style="5" customWidth="1"/>
    <col min="6" max="6" width="10.33203125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6" width="10.83203125" style="7"/>
    <col min="17" max="17" width="10.83203125" style="10"/>
    <col min="18" max="18" width="10.83203125" style="11"/>
    <col min="19" max="19" width="10.83203125" style="17"/>
    <col min="20" max="21" width="10.83203125" style="7"/>
    <col min="22" max="22" width="10.83203125" style="10"/>
    <col min="23" max="23" width="10.83203125" style="11"/>
    <col min="24" max="24" width="10.83203125" style="17"/>
    <col min="25" max="27" width="10.83203125" style="10"/>
    <col min="28" max="28" width="10.83203125" style="11"/>
    <col min="29" max="29" width="10.83203125" style="17"/>
    <col min="30" max="16384" width="10.83203125" style="5"/>
  </cols>
  <sheetData>
    <row r="1" spans="1:29" s="4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58</v>
      </c>
      <c r="K1" s="6" t="s">
        <v>33</v>
      </c>
      <c r="L1" s="12" t="s">
        <v>34</v>
      </c>
      <c r="M1" s="13" t="s">
        <v>96</v>
      </c>
      <c r="N1" s="15" t="s">
        <v>7</v>
      </c>
      <c r="O1" s="6" t="s">
        <v>64</v>
      </c>
      <c r="P1" s="6" t="s">
        <v>35</v>
      </c>
      <c r="Q1" s="12" t="s">
        <v>36</v>
      </c>
      <c r="R1" s="13" t="s">
        <v>96</v>
      </c>
      <c r="S1" s="15" t="s">
        <v>9</v>
      </c>
      <c r="T1" s="6" t="s">
        <v>61</v>
      </c>
      <c r="U1" s="6" t="s">
        <v>37</v>
      </c>
      <c r="V1" s="12" t="s">
        <v>38</v>
      </c>
      <c r="W1" s="13" t="s">
        <v>96</v>
      </c>
      <c r="X1" s="15" t="s">
        <v>11</v>
      </c>
      <c r="Y1" s="12" t="s">
        <v>63</v>
      </c>
      <c r="Z1" s="12" t="s">
        <v>41</v>
      </c>
      <c r="AA1" s="12" t="s">
        <v>43</v>
      </c>
      <c r="AB1" s="13" t="s">
        <v>96</v>
      </c>
      <c r="AC1" s="15" t="s">
        <v>42</v>
      </c>
    </row>
    <row r="2" spans="1:29" s="29" customFormat="1">
      <c r="A2" s="41" t="s">
        <v>73</v>
      </c>
      <c r="B2">
        <v>2</v>
      </c>
      <c r="C2" s="41" t="s">
        <v>77</v>
      </c>
      <c r="D2"/>
      <c r="E2" s="30">
        <v>1.4</v>
      </c>
      <c r="F2" s="30">
        <v>2.9</v>
      </c>
      <c r="G2" s="31">
        <f t="shared" ref="G2:G13" si="0">(IF(E2=0, "0.00",10-E2))+F2</f>
        <v>11.5</v>
      </c>
      <c r="H2" s="32">
        <f t="shared" ref="H2:H13" si="1">RANK(G2,$G$2:$G$988, 0)</f>
        <v>1</v>
      </c>
      <c r="I2" s="16">
        <f>IFERROR((G2/'League Calculation'!B$6)*100, "")</f>
        <v>100</v>
      </c>
      <c r="J2" s="30">
        <v>1.95</v>
      </c>
      <c r="K2" s="30">
        <v>3.9</v>
      </c>
      <c r="L2" s="31">
        <f t="shared" ref="L2:L13" si="2">(IF(J2=0, "0.00",10-J2))+K2</f>
        <v>11.950000000000001</v>
      </c>
      <c r="M2" s="32">
        <f t="shared" ref="M2:M13" si="3">RANK(L2,$L$2:$L$988, 0)</f>
        <v>1</v>
      </c>
      <c r="N2" s="16">
        <f>IFERROR((L2/'League Calculation'!G$6)*100, "")</f>
        <v>100</v>
      </c>
      <c r="O2" s="30">
        <v>1.5</v>
      </c>
      <c r="P2" s="30">
        <v>0.5</v>
      </c>
      <c r="Q2" s="31">
        <f t="shared" ref="Q2:Q13" si="4">(IF(O2=0, "0.00",10-O2))+P2</f>
        <v>9</v>
      </c>
      <c r="R2" s="32">
        <f t="shared" ref="R2:R13" si="5">RANK(Q2,$Q$2:$Q$988, 0)</f>
        <v>7</v>
      </c>
      <c r="S2" s="16">
        <f>IFERROR((Q2/'League Calculation'!C$6)*100, "")</f>
        <v>93.75</v>
      </c>
      <c r="T2" s="30">
        <v>0</v>
      </c>
      <c r="U2" s="30">
        <v>0</v>
      </c>
      <c r="V2" s="31">
        <f t="shared" ref="V2:V13" si="6">(IF(T2=0, "0.00",10-T2))+U2</f>
        <v>0</v>
      </c>
      <c r="W2" s="32">
        <f t="shared" ref="W2:W13" si="7">RANK(V2,$V$2:$V$5988, 0)</f>
        <v>5</v>
      </c>
      <c r="X2" s="16">
        <f>IFERROR((V2/'League Calculation'!E$6)*100, "")</f>
        <v>0</v>
      </c>
      <c r="Y2" s="31">
        <f t="shared" ref="Y2:Y13" si="8">E2+J2+O2+T2</f>
        <v>4.8499999999999996</v>
      </c>
      <c r="Z2" s="31">
        <f t="shared" ref="Z2:Z13" si="9">F2+K2+P2+U2</f>
        <v>7.3</v>
      </c>
      <c r="AA2" s="31">
        <f t="shared" ref="AA2:AA13" si="10">G2+L2+Q2+V2</f>
        <v>32.450000000000003</v>
      </c>
      <c r="AB2" s="32">
        <f t="shared" ref="AB2:AB13" si="11">RANK(AA2,$AA$2:$AA$59988, 0)</f>
        <v>1</v>
      </c>
      <c r="AC2" s="16">
        <f>IFERROR((AA2/'League Calculation'!J$6)*100, "")</f>
        <v>100</v>
      </c>
    </row>
    <row r="3" spans="1:29" s="29" customFormat="1">
      <c r="A3" s="41" t="s">
        <v>69</v>
      </c>
      <c r="B3">
        <v>9</v>
      </c>
      <c r="C3" s="41" t="s">
        <v>78</v>
      </c>
      <c r="D3"/>
      <c r="E3" s="30">
        <v>1.75</v>
      </c>
      <c r="F3" s="30">
        <v>2.8</v>
      </c>
      <c r="G3" s="31">
        <f t="shared" si="0"/>
        <v>11.05</v>
      </c>
      <c r="H3" s="32">
        <f t="shared" si="1"/>
        <v>2</v>
      </c>
      <c r="I3" s="16">
        <f>IFERROR((G3/'League Calculation'!B$6)*100, "")</f>
        <v>96.08695652173914</v>
      </c>
      <c r="J3" s="30">
        <v>0</v>
      </c>
      <c r="K3" s="30">
        <v>0</v>
      </c>
      <c r="L3" s="31">
        <f t="shared" si="2"/>
        <v>0</v>
      </c>
      <c r="M3" s="32">
        <f t="shared" si="3"/>
        <v>8</v>
      </c>
      <c r="N3" s="16">
        <f>IFERROR((L3/'League Calculation'!G$6)*100, "")</f>
        <v>0</v>
      </c>
      <c r="O3" s="30">
        <v>1.4</v>
      </c>
      <c r="P3" s="30">
        <v>0.5</v>
      </c>
      <c r="Q3" s="31">
        <f t="shared" si="4"/>
        <v>9.1</v>
      </c>
      <c r="R3" s="32">
        <f t="shared" si="5"/>
        <v>6</v>
      </c>
      <c r="S3" s="16">
        <f>IFERROR((Q3/'League Calculation'!C$6)*100, "")</f>
        <v>94.791666666666657</v>
      </c>
      <c r="T3" s="30">
        <v>0.8</v>
      </c>
      <c r="U3" s="30">
        <v>1.4</v>
      </c>
      <c r="V3" s="31">
        <f t="shared" si="6"/>
        <v>10.6</v>
      </c>
      <c r="W3" s="32">
        <f t="shared" si="7"/>
        <v>1</v>
      </c>
      <c r="X3" s="16">
        <f>IFERROR((V3/'League Calculation'!E$6)*100, "")</f>
        <v>100</v>
      </c>
      <c r="Y3" s="31">
        <f t="shared" si="8"/>
        <v>3.95</v>
      </c>
      <c r="Z3" s="31">
        <f t="shared" si="9"/>
        <v>4.6999999999999993</v>
      </c>
      <c r="AA3" s="31">
        <f t="shared" si="10"/>
        <v>30.75</v>
      </c>
      <c r="AB3" s="32">
        <f t="shared" si="11"/>
        <v>2</v>
      </c>
      <c r="AC3" s="16">
        <f>IFERROR((AA3/'League Calculation'!J$6)*100, "")</f>
        <v>94.761171032357467</v>
      </c>
    </row>
    <row r="4" spans="1:29" s="29" customFormat="1">
      <c r="A4" s="41" t="s">
        <v>71</v>
      </c>
      <c r="B4">
        <v>1</v>
      </c>
      <c r="C4" s="41" t="s">
        <v>76</v>
      </c>
      <c r="D4"/>
      <c r="E4" s="30">
        <v>2.0499999999999998</v>
      </c>
      <c r="F4" s="30">
        <v>2.8</v>
      </c>
      <c r="G4" s="31">
        <f t="shared" si="0"/>
        <v>10.75</v>
      </c>
      <c r="H4" s="32">
        <f t="shared" si="1"/>
        <v>5</v>
      </c>
      <c r="I4" s="16">
        <f>IFERROR((G4/'League Calculation'!B$6)*100, "")</f>
        <v>93.478260869565219</v>
      </c>
      <c r="J4" s="30">
        <v>3.25</v>
      </c>
      <c r="K4" s="30">
        <v>2.9</v>
      </c>
      <c r="L4" s="31">
        <f t="shared" si="2"/>
        <v>9.65</v>
      </c>
      <c r="M4" s="32">
        <f t="shared" si="3"/>
        <v>4</v>
      </c>
      <c r="N4" s="16">
        <f>IFERROR((L4/'League Calculation'!G$6)*100, "")</f>
        <v>80.7531380753138</v>
      </c>
      <c r="O4" s="30">
        <v>0.55000000000000004</v>
      </c>
      <c r="P4" s="30">
        <v>0</v>
      </c>
      <c r="Q4" s="31">
        <f t="shared" si="4"/>
        <v>9.4499999999999993</v>
      </c>
      <c r="R4" s="32">
        <f t="shared" si="5"/>
        <v>3</v>
      </c>
      <c r="S4" s="16">
        <f>IFERROR((Q4/'League Calculation'!C$6)*100, "")</f>
        <v>98.4375</v>
      </c>
      <c r="T4" s="30">
        <v>0</v>
      </c>
      <c r="U4" s="30">
        <v>0</v>
      </c>
      <c r="V4" s="31">
        <f t="shared" si="6"/>
        <v>0</v>
      </c>
      <c r="W4" s="32">
        <f t="shared" si="7"/>
        <v>5</v>
      </c>
      <c r="X4" s="16">
        <f>IFERROR((V4/'League Calculation'!E$6)*100, "")</f>
        <v>0</v>
      </c>
      <c r="Y4" s="31">
        <f t="shared" si="8"/>
        <v>5.85</v>
      </c>
      <c r="Z4" s="31">
        <f t="shared" si="9"/>
        <v>5.6999999999999993</v>
      </c>
      <c r="AA4" s="31">
        <f t="shared" si="10"/>
        <v>29.849999999999998</v>
      </c>
      <c r="AB4" s="32">
        <f t="shared" si="11"/>
        <v>3</v>
      </c>
      <c r="AC4" s="16">
        <f>IFERROR((AA4/'League Calculation'!J$6)*100, "")</f>
        <v>91.987673343605536</v>
      </c>
    </row>
    <row r="5" spans="1:29" s="29" customFormat="1">
      <c r="A5" s="41" t="s">
        <v>124</v>
      </c>
      <c r="B5">
        <v>3</v>
      </c>
      <c r="C5" s="41" t="s">
        <v>128</v>
      </c>
      <c r="D5"/>
      <c r="E5" s="30">
        <v>1.7</v>
      </c>
      <c r="F5" s="30">
        <v>2.6</v>
      </c>
      <c r="G5" s="31">
        <f t="shared" si="0"/>
        <v>10.9</v>
      </c>
      <c r="H5" s="32">
        <f t="shared" si="1"/>
        <v>4</v>
      </c>
      <c r="I5" s="16">
        <f>IFERROR((G5/'League Calculation'!B$6)*100, "")</f>
        <v>94.782608695652186</v>
      </c>
      <c r="J5" s="30">
        <v>2.4</v>
      </c>
      <c r="K5" s="30">
        <v>2.2000000000000002</v>
      </c>
      <c r="L5" s="31">
        <f t="shared" si="2"/>
        <v>9.8000000000000007</v>
      </c>
      <c r="M5" s="32">
        <f t="shared" si="3"/>
        <v>3</v>
      </c>
      <c r="N5" s="16">
        <f>IFERROR((L5/'League Calculation'!G$6)*100, "")</f>
        <v>82.008368200836827</v>
      </c>
      <c r="O5" s="30">
        <v>2.0499999999999998</v>
      </c>
      <c r="P5" s="30">
        <v>0</v>
      </c>
      <c r="Q5" s="31">
        <f t="shared" si="4"/>
        <v>7.95</v>
      </c>
      <c r="R5" s="32">
        <f t="shared" si="5"/>
        <v>8</v>
      </c>
      <c r="S5" s="16">
        <f>IFERROR((Q5/'League Calculation'!C$6)*100, "")</f>
        <v>82.8125</v>
      </c>
      <c r="T5" s="30">
        <v>0</v>
      </c>
      <c r="U5" s="30">
        <v>0</v>
      </c>
      <c r="V5" s="31">
        <f t="shared" si="6"/>
        <v>0</v>
      </c>
      <c r="W5" s="32">
        <f t="shared" si="7"/>
        <v>5</v>
      </c>
      <c r="X5" s="16">
        <f>IFERROR((V5/'League Calculation'!E$6)*100, "")</f>
        <v>0</v>
      </c>
      <c r="Y5" s="31">
        <f t="shared" si="8"/>
        <v>6.1499999999999995</v>
      </c>
      <c r="Z5" s="31">
        <f t="shared" si="9"/>
        <v>4.8000000000000007</v>
      </c>
      <c r="AA5" s="31">
        <f t="shared" si="10"/>
        <v>28.650000000000002</v>
      </c>
      <c r="AB5" s="32">
        <f t="shared" si="11"/>
        <v>4</v>
      </c>
      <c r="AC5" s="16">
        <f>IFERROR((AA5/'League Calculation'!J$6)*100, "")</f>
        <v>88.289676425269647</v>
      </c>
    </row>
    <row r="6" spans="1:29" s="29" customFormat="1">
      <c r="A6" s="41" t="s">
        <v>124</v>
      </c>
      <c r="B6">
        <v>4</v>
      </c>
      <c r="C6" s="41" t="s">
        <v>129</v>
      </c>
      <c r="D6"/>
      <c r="E6" s="30">
        <v>1.7</v>
      </c>
      <c r="F6" s="30">
        <v>2.7</v>
      </c>
      <c r="G6" s="31">
        <f t="shared" si="0"/>
        <v>11</v>
      </c>
      <c r="H6" s="32">
        <f t="shared" si="1"/>
        <v>3</v>
      </c>
      <c r="I6" s="16">
        <f>IFERROR((G6/'League Calculation'!B$6)*100, "")</f>
        <v>95.652173913043484</v>
      </c>
      <c r="J6" s="30">
        <v>5.4</v>
      </c>
      <c r="K6" s="30">
        <v>1.7</v>
      </c>
      <c r="L6" s="31">
        <f t="shared" si="2"/>
        <v>6.3</v>
      </c>
      <c r="M6" s="32">
        <f t="shared" si="3"/>
        <v>7</v>
      </c>
      <c r="N6" s="16">
        <f>IFERROR((L6/'League Calculation'!G$6)*100, "")</f>
        <v>52.71966527196652</v>
      </c>
      <c r="O6" s="30">
        <v>0.7</v>
      </c>
      <c r="P6" s="30">
        <v>0</v>
      </c>
      <c r="Q6" s="31">
        <f t="shared" si="4"/>
        <v>9.3000000000000007</v>
      </c>
      <c r="R6" s="32">
        <f t="shared" si="5"/>
        <v>5</v>
      </c>
      <c r="S6" s="16">
        <f>IFERROR((Q6/'League Calculation'!C$6)*100, "")</f>
        <v>96.875000000000014</v>
      </c>
      <c r="T6" s="30">
        <v>0</v>
      </c>
      <c r="U6" s="30">
        <v>0</v>
      </c>
      <c r="V6" s="31">
        <f t="shared" si="6"/>
        <v>0</v>
      </c>
      <c r="W6" s="32">
        <f t="shared" si="7"/>
        <v>5</v>
      </c>
      <c r="X6" s="16">
        <f>IFERROR((V6/'League Calculation'!E$6)*100, "")</f>
        <v>0</v>
      </c>
      <c r="Y6" s="31">
        <f t="shared" si="8"/>
        <v>7.8000000000000007</v>
      </c>
      <c r="Z6" s="31">
        <f t="shared" si="9"/>
        <v>4.4000000000000004</v>
      </c>
      <c r="AA6" s="31">
        <f t="shared" si="10"/>
        <v>26.6</v>
      </c>
      <c r="AB6" s="32">
        <f t="shared" si="11"/>
        <v>5</v>
      </c>
      <c r="AC6" s="16">
        <f>IFERROR((AA6/'League Calculation'!J$6)*100, "")</f>
        <v>81.972265023112485</v>
      </c>
    </row>
    <row r="7" spans="1:29" s="29" customFormat="1">
      <c r="A7" s="41" t="s">
        <v>69</v>
      </c>
      <c r="B7">
        <v>8</v>
      </c>
      <c r="C7" s="41" t="s">
        <v>133</v>
      </c>
      <c r="D7"/>
      <c r="E7" s="30">
        <v>3.95</v>
      </c>
      <c r="F7" s="30">
        <v>2.5</v>
      </c>
      <c r="G7" s="31">
        <f t="shared" si="0"/>
        <v>8.5500000000000007</v>
      </c>
      <c r="H7" s="32">
        <f t="shared" si="1"/>
        <v>7</v>
      </c>
      <c r="I7" s="16">
        <f>IFERROR((G7/'League Calculation'!B$6)*100, "")</f>
        <v>74.34782608695653</v>
      </c>
      <c r="J7" s="30">
        <v>3.5</v>
      </c>
      <c r="K7" s="30">
        <v>1.2</v>
      </c>
      <c r="L7" s="31">
        <f t="shared" si="2"/>
        <v>7.7</v>
      </c>
      <c r="M7" s="32">
        <f t="shared" si="3"/>
        <v>6</v>
      </c>
      <c r="N7" s="16">
        <f>IFERROR((L7/'League Calculation'!G$6)*100, "")</f>
        <v>64.43514644351464</v>
      </c>
      <c r="O7" s="30">
        <v>1</v>
      </c>
      <c r="P7" s="30">
        <v>0.5</v>
      </c>
      <c r="Q7" s="31">
        <f t="shared" si="4"/>
        <v>9.5</v>
      </c>
      <c r="R7" s="32">
        <f t="shared" si="5"/>
        <v>2</v>
      </c>
      <c r="S7" s="16">
        <f>IFERROR((Q7/'League Calculation'!C$6)*100, "")</f>
        <v>98.958333333333343</v>
      </c>
      <c r="T7" s="30">
        <v>0</v>
      </c>
      <c r="U7" s="30">
        <v>0</v>
      </c>
      <c r="V7" s="31">
        <f t="shared" si="6"/>
        <v>0</v>
      </c>
      <c r="W7" s="32">
        <f t="shared" si="7"/>
        <v>5</v>
      </c>
      <c r="X7" s="16">
        <f>IFERROR((V7/'League Calculation'!E$6)*100, "")</f>
        <v>0</v>
      </c>
      <c r="Y7" s="31">
        <f t="shared" si="8"/>
        <v>8.4499999999999993</v>
      </c>
      <c r="Z7" s="31">
        <f t="shared" si="9"/>
        <v>4.2</v>
      </c>
      <c r="AA7" s="31">
        <f t="shared" si="10"/>
        <v>25.75</v>
      </c>
      <c r="AB7" s="32">
        <f t="shared" si="11"/>
        <v>6</v>
      </c>
      <c r="AC7" s="16">
        <f>IFERROR((AA7/'League Calculation'!J$6)*100, "")</f>
        <v>79.352850539291211</v>
      </c>
    </row>
    <row r="8" spans="1:29" s="29" customFormat="1">
      <c r="A8" s="41" t="s">
        <v>124</v>
      </c>
      <c r="B8">
        <v>5</v>
      </c>
      <c r="C8" s="41" t="s">
        <v>130</v>
      </c>
      <c r="D8"/>
      <c r="E8" s="30">
        <v>4.9000000000000004</v>
      </c>
      <c r="F8" s="30">
        <v>2.4</v>
      </c>
      <c r="G8" s="31">
        <f t="shared" si="0"/>
        <v>7.5</v>
      </c>
      <c r="H8" s="32">
        <f t="shared" si="1"/>
        <v>8</v>
      </c>
      <c r="I8" s="16">
        <f>IFERROR((G8/'League Calculation'!B$6)*100, "")</f>
        <v>65.217391304347828</v>
      </c>
      <c r="J8" s="30">
        <v>3</v>
      </c>
      <c r="K8" s="30">
        <v>3.1</v>
      </c>
      <c r="L8" s="31">
        <f t="shared" si="2"/>
        <v>10.1</v>
      </c>
      <c r="M8" s="32">
        <f t="shared" si="3"/>
        <v>2</v>
      </c>
      <c r="N8" s="16">
        <f>IFERROR((L8/'League Calculation'!G$6)*100, "")</f>
        <v>84.518828451882825</v>
      </c>
      <c r="O8" s="30">
        <v>2.0499999999999998</v>
      </c>
      <c r="P8" s="30">
        <v>0</v>
      </c>
      <c r="Q8" s="31">
        <f t="shared" si="4"/>
        <v>7.95</v>
      </c>
      <c r="R8" s="32">
        <f t="shared" si="5"/>
        <v>8</v>
      </c>
      <c r="S8" s="16">
        <f>IFERROR((Q8/'League Calculation'!C$6)*100, "")</f>
        <v>82.8125</v>
      </c>
      <c r="T8" s="30">
        <v>0</v>
      </c>
      <c r="U8" s="30">
        <v>0</v>
      </c>
      <c r="V8" s="31">
        <f t="shared" si="6"/>
        <v>0</v>
      </c>
      <c r="W8" s="32">
        <f t="shared" si="7"/>
        <v>5</v>
      </c>
      <c r="X8" s="16">
        <f>IFERROR((V8/'League Calculation'!E$6)*100, "")</f>
        <v>0</v>
      </c>
      <c r="Y8" s="31">
        <f t="shared" si="8"/>
        <v>9.9499999999999993</v>
      </c>
      <c r="Z8" s="31">
        <f t="shared" si="9"/>
        <v>5.5</v>
      </c>
      <c r="AA8" s="31">
        <f t="shared" si="10"/>
        <v>25.55</v>
      </c>
      <c r="AB8" s="32">
        <f t="shared" si="11"/>
        <v>7</v>
      </c>
      <c r="AC8" s="16">
        <f>IFERROR((AA8/'League Calculation'!J$6)*100, "")</f>
        <v>78.736517719568567</v>
      </c>
    </row>
    <row r="9" spans="1:29" s="29" customFormat="1">
      <c r="A9" s="41" t="s">
        <v>69</v>
      </c>
      <c r="B9">
        <v>7</v>
      </c>
      <c r="C9" s="41" t="s">
        <v>132</v>
      </c>
      <c r="D9"/>
      <c r="E9" s="30">
        <v>5.65</v>
      </c>
      <c r="F9" s="30">
        <v>2.2000000000000002</v>
      </c>
      <c r="G9" s="31">
        <f t="shared" si="0"/>
        <v>6.55</v>
      </c>
      <c r="H9" s="32">
        <f t="shared" si="1"/>
        <v>9</v>
      </c>
      <c r="I9" s="16">
        <f>IFERROR((G9/'League Calculation'!B$6)*100, "")</f>
        <v>56.95652173913043</v>
      </c>
      <c r="J9" s="30">
        <v>0</v>
      </c>
      <c r="K9" s="30">
        <v>0</v>
      </c>
      <c r="L9" s="31">
        <f t="shared" si="2"/>
        <v>0</v>
      </c>
      <c r="M9" s="32">
        <f t="shared" si="3"/>
        <v>8</v>
      </c>
      <c r="N9" s="16">
        <f>IFERROR((L9/'League Calculation'!G$6)*100, "")</f>
        <v>0</v>
      </c>
      <c r="O9" s="30">
        <v>1.1000000000000001</v>
      </c>
      <c r="P9" s="30">
        <v>0.5</v>
      </c>
      <c r="Q9" s="31">
        <f t="shared" si="4"/>
        <v>9.4</v>
      </c>
      <c r="R9" s="32">
        <f t="shared" si="5"/>
        <v>4</v>
      </c>
      <c r="S9" s="16">
        <f>IFERROR((Q9/'League Calculation'!C$6)*100, "")</f>
        <v>97.916666666666671</v>
      </c>
      <c r="T9" s="30">
        <v>2.8</v>
      </c>
      <c r="U9" s="30">
        <v>1.4</v>
      </c>
      <c r="V9" s="31">
        <f t="shared" si="6"/>
        <v>8.6</v>
      </c>
      <c r="W9" s="32">
        <f t="shared" si="7"/>
        <v>3</v>
      </c>
      <c r="X9" s="16">
        <f>IFERROR((V9/'League Calculation'!E$6)*100, "")</f>
        <v>81.132075471698116</v>
      </c>
      <c r="Y9" s="31">
        <f t="shared" si="8"/>
        <v>9.5500000000000007</v>
      </c>
      <c r="Z9" s="31">
        <f t="shared" si="9"/>
        <v>4.0999999999999996</v>
      </c>
      <c r="AA9" s="31">
        <f t="shared" si="10"/>
        <v>24.549999999999997</v>
      </c>
      <c r="AB9" s="32">
        <f t="shared" si="11"/>
        <v>8</v>
      </c>
      <c r="AC9" s="16">
        <f>IFERROR((AA9/'League Calculation'!J$6)*100, "")</f>
        <v>75.654853620955294</v>
      </c>
    </row>
    <row r="10" spans="1:29" s="29" customFormat="1">
      <c r="A10" s="41" t="s">
        <v>125</v>
      </c>
      <c r="B10">
        <v>12</v>
      </c>
      <c r="C10" s="41" t="s">
        <v>135</v>
      </c>
      <c r="D10"/>
      <c r="E10" s="37">
        <v>2.8</v>
      </c>
      <c r="F10" s="37">
        <v>2.6</v>
      </c>
      <c r="G10" s="31">
        <f t="shared" si="0"/>
        <v>9.8000000000000007</v>
      </c>
      <c r="H10" s="32">
        <f t="shared" si="1"/>
        <v>6</v>
      </c>
      <c r="I10" s="16">
        <f>IFERROR((G10/'League Calculation'!B$6)*100, "")</f>
        <v>85.217391304347828</v>
      </c>
      <c r="J10" s="37">
        <v>0</v>
      </c>
      <c r="K10" s="37">
        <v>0</v>
      </c>
      <c r="L10" s="31">
        <f t="shared" si="2"/>
        <v>0</v>
      </c>
      <c r="M10" s="32">
        <f t="shared" si="3"/>
        <v>8</v>
      </c>
      <c r="N10" s="16">
        <f>IFERROR((L10/'League Calculation'!G$6)*100, "")</f>
        <v>0</v>
      </c>
      <c r="O10" s="37">
        <v>0</v>
      </c>
      <c r="P10" s="37">
        <v>0</v>
      </c>
      <c r="Q10" s="31">
        <f t="shared" si="4"/>
        <v>0</v>
      </c>
      <c r="R10" s="32">
        <f t="shared" si="5"/>
        <v>10</v>
      </c>
      <c r="S10" s="16">
        <f>IFERROR((Q10/'League Calculation'!C$6)*100, "")</f>
        <v>0</v>
      </c>
      <c r="T10" s="37">
        <v>2.15</v>
      </c>
      <c r="U10" s="37">
        <v>1.8</v>
      </c>
      <c r="V10" s="31">
        <f t="shared" si="6"/>
        <v>9.65</v>
      </c>
      <c r="W10" s="32">
        <f t="shared" si="7"/>
        <v>2</v>
      </c>
      <c r="X10" s="16">
        <f>IFERROR((V10/'League Calculation'!E$6)*100, "")</f>
        <v>91.037735849056617</v>
      </c>
      <c r="Y10" s="31">
        <f t="shared" si="8"/>
        <v>4.9499999999999993</v>
      </c>
      <c r="Z10" s="31">
        <f t="shared" si="9"/>
        <v>4.4000000000000004</v>
      </c>
      <c r="AA10" s="31">
        <f t="shared" si="10"/>
        <v>19.450000000000003</v>
      </c>
      <c r="AB10" s="32">
        <f t="shared" si="11"/>
        <v>9</v>
      </c>
      <c r="AC10" s="16">
        <f>IFERROR((AA10/'League Calculation'!J$6)*100, "")</f>
        <v>59.938366718027737</v>
      </c>
    </row>
    <row r="11" spans="1:29" s="29" customFormat="1">
      <c r="A11" s="41" t="s">
        <v>74</v>
      </c>
      <c r="B11">
        <v>10</v>
      </c>
      <c r="C11" s="41" t="s">
        <v>79</v>
      </c>
      <c r="D11"/>
      <c r="E11" s="30">
        <v>0</v>
      </c>
      <c r="F11" s="30">
        <v>0</v>
      </c>
      <c r="G11" s="31">
        <f t="shared" si="0"/>
        <v>0</v>
      </c>
      <c r="H11" s="32">
        <f t="shared" si="1"/>
        <v>10</v>
      </c>
      <c r="I11" s="16">
        <f>IFERROR((G11/'League Calculation'!B$6)*100, "")</f>
        <v>0</v>
      </c>
      <c r="J11" s="30">
        <v>0</v>
      </c>
      <c r="K11" s="30">
        <v>0</v>
      </c>
      <c r="L11" s="31">
        <f t="shared" si="2"/>
        <v>0</v>
      </c>
      <c r="M11" s="32">
        <f t="shared" si="3"/>
        <v>8</v>
      </c>
      <c r="N11" s="16">
        <f>IFERROR((L11/'League Calculation'!G$6)*100, "")</f>
        <v>0</v>
      </c>
      <c r="O11" s="30">
        <v>0.9</v>
      </c>
      <c r="P11" s="30">
        <v>0.5</v>
      </c>
      <c r="Q11" s="31">
        <f t="shared" si="4"/>
        <v>9.6</v>
      </c>
      <c r="R11" s="32">
        <f t="shared" si="5"/>
        <v>1</v>
      </c>
      <c r="S11" s="16">
        <f>IFERROR((Q11/'League Calculation'!C$6)*100, "")</f>
        <v>100</v>
      </c>
      <c r="T11" s="30">
        <v>4.05</v>
      </c>
      <c r="U11" s="30">
        <v>1.6</v>
      </c>
      <c r="V11" s="31">
        <f t="shared" si="6"/>
        <v>7.5500000000000007</v>
      </c>
      <c r="W11" s="32">
        <f t="shared" si="7"/>
        <v>4</v>
      </c>
      <c r="X11" s="16">
        <f>IFERROR((V11/'League Calculation'!E$6)*100, "")</f>
        <v>71.226415094339629</v>
      </c>
      <c r="Y11" s="31">
        <f t="shared" si="8"/>
        <v>4.95</v>
      </c>
      <c r="Z11" s="31">
        <f t="shared" si="9"/>
        <v>2.1</v>
      </c>
      <c r="AA11" s="31">
        <f t="shared" si="10"/>
        <v>17.149999999999999</v>
      </c>
      <c r="AB11" s="32">
        <f t="shared" si="11"/>
        <v>10</v>
      </c>
      <c r="AC11" s="16">
        <f>IFERROR((AA11/'League Calculation'!J$6)*100, "")</f>
        <v>52.850539291217245</v>
      </c>
    </row>
    <row r="12" spans="1:29" s="29" customFormat="1">
      <c r="A12" s="41" t="s">
        <v>124</v>
      </c>
      <c r="B12">
        <v>6</v>
      </c>
      <c r="C12" s="41" t="s">
        <v>131</v>
      </c>
      <c r="D12"/>
      <c r="E12" s="30">
        <v>0</v>
      </c>
      <c r="F12" s="30">
        <v>0</v>
      </c>
      <c r="G12" s="31">
        <f t="shared" si="0"/>
        <v>0</v>
      </c>
      <c r="H12" s="32">
        <f t="shared" si="1"/>
        <v>10</v>
      </c>
      <c r="I12" s="16">
        <f>IFERROR((G12/'League Calculation'!B$6)*100, "")</f>
        <v>0</v>
      </c>
      <c r="J12" s="30">
        <v>3.95</v>
      </c>
      <c r="K12" s="30">
        <v>1.9</v>
      </c>
      <c r="L12" s="31">
        <f t="shared" si="2"/>
        <v>7.9499999999999993</v>
      </c>
      <c r="M12" s="32">
        <f t="shared" si="3"/>
        <v>5</v>
      </c>
      <c r="N12" s="16">
        <f>IFERROR((L12/'League Calculation'!G$6)*100, "")</f>
        <v>66.527196652719653</v>
      </c>
      <c r="O12" s="30">
        <v>0</v>
      </c>
      <c r="P12" s="30">
        <v>0</v>
      </c>
      <c r="Q12" s="31">
        <f t="shared" si="4"/>
        <v>0</v>
      </c>
      <c r="R12" s="32">
        <f t="shared" si="5"/>
        <v>10</v>
      </c>
      <c r="S12" s="16">
        <f>IFERROR((Q12/'League Calculation'!C$6)*100, "")</f>
        <v>0</v>
      </c>
      <c r="T12" s="30">
        <v>0</v>
      </c>
      <c r="U12" s="30">
        <v>0</v>
      </c>
      <c r="V12" s="31">
        <f t="shared" si="6"/>
        <v>0</v>
      </c>
      <c r="W12" s="32">
        <f t="shared" si="7"/>
        <v>5</v>
      </c>
      <c r="X12" s="16">
        <f>IFERROR((V12/'League Calculation'!E$6)*100, "")</f>
        <v>0</v>
      </c>
      <c r="Y12" s="31">
        <f t="shared" si="8"/>
        <v>3.95</v>
      </c>
      <c r="Z12" s="31">
        <f t="shared" si="9"/>
        <v>1.9</v>
      </c>
      <c r="AA12" s="31">
        <f t="shared" si="10"/>
        <v>7.9499999999999993</v>
      </c>
      <c r="AB12" s="32">
        <f t="shared" si="11"/>
        <v>11</v>
      </c>
      <c r="AC12" s="16">
        <f>IFERROR((AA12/'League Calculation'!J$6)*100, "")</f>
        <v>24.499229583975342</v>
      </c>
    </row>
    <row r="13" spans="1:29" s="29" customFormat="1">
      <c r="A13" s="41" t="s">
        <v>125</v>
      </c>
      <c r="B13">
        <v>11</v>
      </c>
      <c r="C13" s="41" t="s">
        <v>134</v>
      </c>
      <c r="D13"/>
      <c r="E13" s="30">
        <v>0</v>
      </c>
      <c r="F13" s="30">
        <v>0</v>
      </c>
      <c r="G13" s="31">
        <f t="shared" si="0"/>
        <v>0</v>
      </c>
      <c r="H13" s="32">
        <f t="shared" si="1"/>
        <v>10</v>
      </c>
      <c r="I13" s="16">
        <f>IFERROR((G13/'League Calculation'!B$6)*100, "")</f>
        <v>0</v>
      </c>
      <c r="J13" s="30">
        <v>0</v>
      </c>
      <c r="K13" s="30">
        <v>0</v>
      </c>
      <c r="L13" s="31">
        <f t="shared" si="2"/>
        <v>0</v>
      </c>
      <c r="M13" s="32">
        <f t="shared" si="3"/>
        <v>8</v>
      </c>
      <c r="N13" s="16">
        <f>IFERROR((L13/'League Calculation'!G$6)*100, "")</f>
        <v>0</v>
      </c>
      <c r="O13" s="30">
        <v>0</v>
      </c>
      <c r="P13" s="30">
        <v>0</v>
      </c>
      <c r="Q13" s="31">
        <f t="shared" si="4"/>
        <v>0</v>
      </c>
      <c r="R13" s="32">
        <f t="shared" si="5"/>
        <v>10</v>
      </c>
      <c r="S13" s="16">
        <f>IFERROR((Q13/'League Calculation'!C$6)*100, "")</f>
        <v>0</v>
      </c>
      <c r="T13" s="30">
        <v>0</v>
      </c>
      <c r="U13" s="30">
        <v>0</v>
      </c>
      <c r="V13" s="31">
        <f t="shared" si="6"/>
        <v>0</v>
      </c>
      <c r="W13" s="32">
        <f t="shared" si="7"/>
        <v>5</v>
      </c>
      <c r="X13" s="16">
        <f>IFERROR((V13/'League Calculation'!E$6)*100, "")</f>
        <v>0</v>
      </c>
      <c r="Y13" s="31">
        <f t="shared" si="8"/>
        <v>0</v>
      </c>
      <c r="Z13" s="31">
        <f t="shared" si="9"/>
        <v>0</v>
      </c>
      <c r="AA13" s="31">
        <f t="shared" si="10"/>
        <v>0</v>
      </c>
      <c r="AB13" s="32">
        <f t="shared" si="11"/>
        <v>12</v>
      </c>
      <c r="AC13" s="16">
        <f>IFERROR((AA13/'League Calculation'!J$6)*100, "")</f>
        <v>0</v>
      </c>
    </row>
    <row r="14" spans="1:29" s="29" customFormat="1">
      <c r="A14" s="28"/>
      <c r="C14" s="28"/>
      <c r="E14" s="30"/>
      <c r="F14" s="30"/>
      <c r="G14" s="38"/>
      <c r="H14" s="39"/>
      <c r="I14" s="40"/>
      <c r="J14" s="30"/>
      <c r="K14" s="30"/>
      <c r="L14" s="38"/>
      <c r="M14" s="39"/>
      <c r="N14" s="40"/>
      <c r="O14" s="30"/>
      <c r="P14" s="30"/>
      <c r="Q14" s="38"/>
      <c r="R14" s="39"/>
      <c r="S14" s="40"/>
      <c r="T14" s="30"/>
      <c r="U14" s="30"/>
      <c r="V14" s="38"/>
      <c r="W14" s="39"/>
      <c r="X14" s="40"/>
      <c r="Y14" s="38"/>
      <c r="Z14" s="38"/>
      <c r="AA14" s="38"/>
      <c r="AB14" s="39"/>
      <c r="AC14" s="40"/>
    </row>
    <row r="15" spans="1:29" s="29" customFormat="1">
      <c r="A15" s="28"/>
      <c r="C15" s="28"/>
      <c r="E15" s="30"/>
      <c r="F15" s="30"/>
      <c r="G15" s="38"/>
      <c r="H15" s="39"/>
      <c r="I15" s="40"/>
      <c r="J15" s="30"/>
      <c r="K15" s="30"/>
      <c r="L15" s="38"/>
      <c r="M15" s="39"/>
      <c r="N15" s="40"/>
      <c r="O15" s="30"/>
      <c r="P15" s="30"/>
      <c r="Q15" s="38"/>
      <c r="R15" s="39"/>
      <c r="S15" s="40"/>
      <c r="T15" s="30"/>
      <c r="U15" s="30"/>
      <c r="V15" s="38"/>
      <c r="W15" s="39"/>
      <c r="X15" s="40"/>
      <c r="Y15" s="38"/>
      <c r="Z15" s="38"/>
      <c r="AA15" s="38"/>
      <c r="AB15" s="39"/>
      <c r="AC15" s="40"/>
    </row>
    <row r="16" spans="1:29" s="29" customFormat="1">
      <c r="A16" s="28"/>
      <c r="C16" s="28"/>
      <c r="E16" s="30"/>
      <c r="F16" s="30"/>
      <c r="G16" s="38"/>
      <c r="H16" s="39"/>
      <c r="I16" s="40"/>
      <c r="J16" s="30"/>
      <c r="K16" s="30"/>
      <c r="L16" s="38"/>
      <c r="M16" s="39"/>
      <c r="N16" s="40"/>
      <c r="O16" s="30"/>
      <c r="P16" s="30"/>
      <c r="Q16" s="38"/>
      <c r="R16" s="39"/>
      <c r="S16" s="40"/>
      <c r="T16" s="30"/>
      <c r="U16" s="30"/>
      <c r="V16" s="38"/>
      <c r="W16" s="39"/>
      <c r="X16" s="40"/>
      <c r="Y16" s="38"/>
      <c r="Z16" s="38"/>
      <c r="AA16" s="38"/>
      <c r="AB16" s="39"/>
      <c r="AC16" s="40"/>
    </row>
    <row r="17" spans="1:29" s="29" customFormat="1">
      <c r="A17" s="28"/>
      <c r="C17" s="28"/>
      <c r="E17" s="30"/>
      <c r="F17" s="30"/>
      <c r="G17" s="38"/>
      <c r="H17" s="39"/>
      <c r="I17" s="40"/>
      <c r="J17" s="30"/>
      <c r="K17" s="30"/>
      <c r="L17" s="38"/>
      <c r="M17" s="39"/>
      <c r="N17" s="40"/>
      <c r="O17" s="30"/>
      <c r="P17" s="30"/>
      <c r="Q17" s="38"/>
      <c r="R17" s="39"/>
      <c r="S17" s="40"/>
      <c r="T17" s="30"/>
      <c r="U17" s="30"/>
      <c r="V17" s="38"/>
      <c r="W17" s="39"/>
      <c r="X17" s="40"/>
      <c r="Y17" s="38"/>
      <c r="Z17" s="38"/>
      <c r="AA17" s="38"/>
      <c r="AB17" s="39"/>
      <c r="AC17" s="40"/>
    </row>
    <row r="18" spans="1:29" s="29" customFormat="1">
      <c r="A18" s="28"/>
      <c r="C18" s="28"/>
      <c r="E18" s="30"/>
      <c r="F18" s="30"/>
      <c r="G18" s="38"/>
      <c r="H18" s="39"/>
      <c r="I18" s="40"/>
      <c r="J18" s="30"/>
      <c r="K18" s="30"/>
      <c r="L18" s="38"/>
      <c r="M18" s="39"/>
      <c r="N18" s="40"/>
      <c r="O18" s="30"/>
      <c r="P18" s="30"/>
      <c r="Q18" s="38"/>
      <c r="R18" s="39"/>
      <c r="S18" s="40"/>
      <c r="T18" s="30"/>
      <c r="U18" s="30"/>
      <c r="V18" s="38"/>
      <c r="W18" s="39"/>
      <c r="X18" s="40"/>
      <c r="Y18" s="38"/>
      <c r="Z18" s="38"/>
      <c r="AA18" s="38"/>
      <c r="AB18" s="39"/>
      <c r="AC18" s="40"/>
    </row>
    <row r="19" spans="1:29" s="29" customFormat="1">
      <c r="A19" s="28"/>
      <c r="C19" s="28"/>
      <c r="E19" s="30"/>
      <c r="F19" s="30"/>
      <c r="G19" s="38"/>
      <c r="H19" s="39"/>
      <c r="I19" s="40"/>
      <c r="J19" s="30"/>
      <c r="K19" s="30"/>
      <c r="L19" s="38"/>
      <c r="M19" s="39"/>
      <c r="N19" s="40"/>
      <c r="O19" s="30"/>
      <c r="P19" s="30"/>
      <c r="Q19" s="38"/>
      <c r="R19" s="39"/>
      <c r="S19" s="40"/>
      <c r="T19" s="30"/>
      <c r="U19" s="30"/>
      <c r="V19" s="38"/>
      <c r="W19" s="39"/>
      <c r="X19" s="40"/>
      <c r="Y19" s="38"/>
      <c r="Z19" s="38"/>
      <c r="AA19" s="38"/>
      <c r="AB19" s="39"/>
      <c r="AC19" s="40"/>
    </row>
    <row r="20" spans="1:29" s="29" customFormat="1">
      <c r="A20" s="28"/>
      <c r="C20" s="28"/>
      <c r="E20" s="30"/>
      <c r="F20" s="30"/>
      <c r="G20" s="38"/>
      <c r="H20" s="39"/>
      <c r="I20" s="40"/>
      <c r="J20" s="30"/>
      <c r="K20" s="30"/>
      <c r="L20" s="38"/>
      <c r="M20" s="39"/>
      <c r="N20" s="40"/>
      <c r="O20" s="30"/>
      <c r="P20" s="30"/>
      <c r="Q20" s="38"/>
      <c r="R20" s="39"/>
      <c r="S20" s="40"/>
      <c r="T20" s="30"/>
      <c r="U20" s="30"/>
      <c r="V20" s="38"/>
      <c r="W20" s="39"/>
      <c r="X20" s="40"/>
      <c r="Y20" s="38"/>
      <c r="Z20" s="38"/>
      <c r="AA20" s="38"/>
      <c r="AB20" s="39"/>
      <c r="AC20" s="40"/>
    </row>
    <row r="21" spans="1:29" s="29" customFormat="1">
      <c r="A21" s="28"/>
      <c r="C21" s="28"/>
      <c r="E21" s="30"/>
      <c r="F21" s="30"/>
      <c r="G21" s="38"/>
      <c r="H21" s="39"/>
      <c r="I21" s="40"/>
      <c r="J21" s="30"/>
      <c r="K21" s="30"/>
      <c r="L21" s="38"/>
      <c r="M21" s="39"/>
      <c r="N21" s="40"/>
      <c r="O21" s="30"/>
      <c r="P21" s="30"/>
      <c r="Q21" s="38"/>
      <c r="R21" s="39"/>
      <c r="S21" s="40"/>
      <c r="T21" s="30"/>
      <c r="U21" s="30"/>
      <c r="V21" s="38"/>
      <c r="W21" s="39"/>
      <c r="X21" s="40"/>
      <c r="Y21" s="38"/>
      <c r="Z21" s="38"/>
      <c r="AA21" s="38"/>
      <c r="AB21" s="39"/>
      <c r="AC21" s="40"/>
    </row>
    <row r="1048564" spans="9:9">
      <c r="I1048564" s="17">
        <f>SUM(I2:I1048563)</f>
        <v>761.73913043478274</v>
      </c>
    </row>
  </sheetData>
  <sheetProtection selectLockedCells="1"/>
  <autoFilter ref="A1:A1048564" xr:uid="{5651AB29-9FEF-ED45-A411-FED2D055C20E}"/>
  <sortState xmlns:xlrd2="http://schemas.microsoft.com/office/spreadsheetml/2017/richdata2" ref="A2:AC1048564">
    <sortCondition ref="AB2:AB1048564"/>
  </sortState>
  <conditionalFormatting sqref="AB1:AB1048576 W1:W1048576 R1:R1048576 M1:M1048576 H1:H1048576">
    <cfRule type="cellIs" dxfId="20" priority="13" operator="equal">
      <formula>3</formula>
    </cfRule>
    <cfRule type="cellIs" dxfId="19" priority="14" operator="equal">
      <formula>2</formula>
    </cfRule>
    <cfRule type="cellIs" dxfId="18" priority="15" operator="equal">
      <formula>1</formula>
    </cfRule>
  </conditionalFormatting>
  <dataValidations count="1">
    <dataValidation type="list" allowBlank="1" showInputMessage="1" showErrorMessage="1" sqref="D2:D1048576" xr:uid="{91F355D0-A290-A042-AA96-6E59B4ADE53A}">
      <formula1>"Yes"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0C69-AB67-F64E-B478-377BE26363DD}">
  <dimension ref="A1:S1048562"/>
  <sheetViews>
    <sheetView zoomScale="85" zoomScaleNormal="85" workbookViewId="0">
      <pane xSplit="3" ySplit="1" topLeftCell="J2" activePane="bottomRight" state="frozen"/>
      <selection activeCell="K28" sqref="K28"/>
      <selection pane="topRight" activeCell="K28" sqref="K28"/>
      <selection pane="bottomLeft" activeCell="K28" sqref="K28"/>
      <selection pane="bottomRight" activeCell="S3" sqref="S3"/>
    </sheetView>
  </sheetViews>
  <sheetFormatPr defaultColWidth="10.83203125" defaultRowHeight="15.5"/>
  <cols>
    <col min="1" max="1" width="30.5" style="5" bestFit="1" customWidth="1"/>
    <col min="2" max="2" width="10" style="5" customWidth="1"/>
    <col min="3" max="3" width="19.5" style="5" bestFit="1" customWidth="1"/>
    <col min="4" max="4" width="4.5" style="5" customWidth="1"/>
    <col min="5" max="6" width="9.5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7" width="10.83203125" style="10"/>
    <col min="18" max="18" width="10.83203125" style="11"/>
    <col min="19" max="19" width="10.83203125" style="17"/>
    <col min="20" max="16384" width="10.83203125" style="5"/>
  </cols>
  <sheetData>
    <row r="1" spans="1:19" s="4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64</v>
      </c>
      <c r="K1" s="6" t="s">
        <v>35</v>
      </c>
      <c r="L1" s="12" t="s">
        <v>36</v>
      </c>
      <c r="M1" s="13" t="s">
        <v>96</v>
      </c>
      <c r="N1" s="15" t="s">
        <v>9</v>
      </c>
      <c r="O1" s="12" t="s">
        <v>63</v>
      </c>
      <c r="P1" s="12" t="s">
        <v>41</v>
      </c>
      <c r="Q1" s="12" t="s">
        <v>43</v>
      </c>
      <c r="R1" s="13" t="s">
        <v>96</v>
      </c>
      <c r="S1" s="15" t="s">
        <v>42</v>
      </c>
    </row>
    <row r="2" spans="1:19" s="36" customFormat="1">
      <c r="A2" s="41" t="s">
        <v>136</v>
      </c>
      <c r="B2">
        <v>1</v>
      </c>
      <c r="C2" s="41" t="s">
        <v>137</v>
      </c>
      <c r="D2"/>
      <c r="E2" s="30">
        <v>3</v>
      </c>
      <c r="F2" s="30">
        <v>1</v>
      </c>
      <c r="G2" s="31">
        <f>(IF(E2=0, "0.00",10-E2))+F2</f>
        <v>8</v>
      </c>
      <c r="H2" s="32">
        <f>RANK(G2, $G$2:$G$86, 0)</f>
        <v>1</v>
      </c>
      <c r="I2" s="16">
        <f>IFERROR((G2/'League Calculation'!B$9)*100, "")</f>
        <v>100</v>
      </c>
      <c r="J2" s="30">
        <v>0.4</v>
      </c>
      <c r="K2" s="30">
        <v>1.5</v>
      </c>
      <c r="L2" s="31">
        <f>(IF(J2=0, "0.00",10-J2))+K2</f>
        <v>11.1</v>
      </c>
      <c r="M2" s="32">
        <f>RANK(L2,$L$2:$L$986, 0)</f>
        <v>2</v>
      </c>
      <c r="N2" s="16">
        <f>IFERROR((L2/'League Calculation'!C$9)*100, "")</f>
        <v>99.107142857142861</v>
      </c>
      <c r="O2" s="31">
        <f t="shared" ref="O2:O6" si="0">E2+J2</f>
        <v>3.4</v>
      </c>
      <c r="P2" s="31">
        <f t="shared" ref="P2:P6" si="1">F2+K2</f>
        <v>2.5</v>
      </c>
      <c r="Q2" s="31">
        <f t="shared" ref="Q2:Q6" si="2">G2+L2</f>
        <v>19.100000000000001</v>
      </c>
      <c r="R2" s="32">
        <f>RANK(Q2,$Q$2:$Q$59986, 0)</f>
        <v>1</v>
      </c>
      <c r="S2" s="16">
        <f>IFERROR((Q2/'League Calculation'!J$9)*100, "")</f>
        <v>100</v>
      </c>
    </row>
    <row r="3" spans="1:19" s="29" customFormat="1">
      <c r="A3" s="41" t="s">
        <v>69</v>
      </c>
      <c r="B3">
        <v>2</v>
      </c>
      <c r="C3" s="41" t="s">
        <v>138</v>
      </c>
      <c r="D3"/>
      <c r="E3" s="37">
        <v>2.5</v>
      </c>
      <c r="F3" s="37">
        <v>0</v>
      </c>
      <c r="G3" s="31">
        <f t="shared" ref="G3:G6" si="3">(IF(E3=0, "0.00",10-E3))+F3</f>
        <v>7.5</v>
      </c>
      <c r="H3" s="32">
        <f>RANK(G3, $G$2:$G$86, 0)</f>
        <v>2</v>
      </c>
      <c r="I3" s="16">
        <f>IFERROR((G3/'League Calculation'!B$9)*100, "")</f>
        <v>93.75</v>
      </c>
      <c r="J3" s="37">
        <v>0.3</v>
      </c>
      <c r="K3" s="37">
        <v>1.5</v>
      </c>
      <c r="L3" s="31">
        <f t="shared" ref="L3:L6" si="4">(IF(J3=0, "0.00",10-J3))+K3</f>
        <v>11.2</v>
      </c>
      <c r="M3" s="32">
        <f>RANK(L3,$L$2:$L$986, 0)</f>
        <v>1</v>
      </c>
      <c r="N3" s="16">
        <f>IFERROR((L3/'League Calculation'!C$9)*100, "")</f>
        <v>100</v>
      </c>
      <c r="O3" s="31">
        <f t="shared" si="0"/>
        <v>2.8</v>
      </c>
      <c r="P3" s="31">
        <f t="shared" si="1"/>
        <v>1.5</v>
      </c>
      <c r="Q3" s="31">
        <f t="shared" si="2"/>
        <v>18.7</v>
      </c>
      <c r="R3" s="32">
        <f>RANK(Q3,$Q$2:$Q$59986, 0)</f>
        <v>2</v>
      </c>
      <c r="S3" s="16">
        <f>IFERROR((Q3/'League Calculation'!J$9)*100, "")</f>
        <v>97.905759162303653</v>
      </c>
    </row>
    <row r="4" spans="1:19" s="29" customFormat="1">
      <c r="A4" s="41" t="s">
        <v>74</v>
      </c>
      <c r="B4">
        <v>3</v>
      </c>
      <c r="C4" s="41" t="s">
        <v>80</v>
      </c>
      <c r="D4"/>
      <c r="E4" s="30">
        <v>4</v>
      </c>
      <c r="F4" s="30">
        <v>0.5</v>
      </c>
      <c r="G4" s="31">
        <f t="shared" si="3"/>
        <v>6.5</v>
      </c>
      <c r="H4" s="32">
        <f>RANK(G4, $G$2:$G$86, 0)</f>
        <v>3</v>
      </c>
      <c r="I4" s="16">
        <f>IFERROR((G4/'League Calculation'!B$9)*100, "")</f>
        <v>81.25</v>
      </c>
      <c r="J4" s="30">
        <v>0.6</v>
      </c>
      <c r="K4" s="30">
        <v>1.5</v>
      </c>
      <c r="L4" s="31">
        <f t="shared" si="4"/>
        <v>10.9</v>
      </c>
      <c r="M4" s="32">
        <f>RANK(L4,$L$2:$L$986, 0)</f>
        <v>3</v>
      </c>
      <c r="N4" s="16">
        <f>IFERROR((L4/'League Calculation'!C$9)*100, "")</f>
        <v>97.321428571428584</v>
      </c>
      <c r="O4" s="31">
        <f t="shared" si="0"/>
        <v>4.5999999999999996</v>
      </c>
      <c r="P4" s="31">
        <f t="shared" si="1"/>
        <v>2</v>
      </c>
      <c r="Q4" s="31">
        <f t="shared" si="2"/>
        <v>17.399999999999999</v>
      </c>
      <c r="R4" s="32">
        <f>RANK(Q4,$Q$2:$Q$59986, 0)</f>
        <v>3</v>
      </c>
      <c r="S4" s="16">
        <f>IFERROR((Q4/'League Calculation'!J$9)*100, "")</f>
        <v>91.099476439790564</v>
      </c>
    </row>
    <row r="5" spans="1:19" s="29" customFormat="1">
      <c r="A5" s="41" t="s">
        <v>124</v>
      </c>
      <c r="B5">
        <v>4</v>
      </c>
      <c r="C5" s="41" t="s">
        <v>139</v>
      </c>
      <c r="D5"/>
      <c r="E5" s="37">
        <v>0</v>
      </c>
      <c r="F5" s="37">
        <v>0</v>
      </c>
      <c r="G5" s="31">
        <f t="shared" si="3"/>
        <v>0</v>
      </c>
      <c r="H5" s="32">
        <f>RANK(G5, $G$2:$G$86, 0)</f>
        <v>4</v>
      </c>
      <c r="I5" s="16">
        <f>IFERROR((G5/'League Calculation'!B$9)*100, "")</f>
        <v>0</v>
      </c>
      <c r="J5" s="30">
        <v>0</v>
      </c>
      <c r="K5" s="30">
        <v>0</v>
      </c>
      <c r="L5" s="31">
        <f t="shared" si="4"/>
        <v>0</v>
      </c>
      <c r="M5" s="32">
        <f>RANK(L5,$L$2:$L$986, 0)</f>
        <v>4</v>
      </c>
      <c r="N5" s="16">
        <f>IFERROR((L5/'League Calculation'!C$9)*100, "")</f>
        <v>0</v>
      </c>
      <c r="O5" s="31">
        <f t="shared" si="0"/>
        <v>0</v>
      </c>
      <c r="P5" s="31">
        <f t="shared" si="1"/>
        <v>0</v>
      </c>
      <c r="Q5" s="31">
        <f t="shared" si="2"/>
        <v>0</v>
      </c>
      <c r="R5" s="32">
        <f>RANK(Q5,$Q$2:$Q$59986, 0)</f>
        <v>4</v>
      </c>
      <c r="S5" s="16">
        <f>IFERROR((Q5/'League Calculation'!J$9)*100, "")</f>
        <v>0</v>
      </c>
    </row>
    <row r="6" spans="1:19" s="29" customFormat="1">
      <c r="A6" s="41" t="s">
        <v>124</v>
      </c>
      <c r="B6">
        <v>5</v>
      </c>
      <c r="C6" s="41" t="s">
        <v>140</v>
      </c>
      <c r="D6"/>
      <c r="E6" s="30">
        <v>0</v>
      </c>
      <c r="F6" s="30">
        <v>0</v>
      </c>
      <c r="G6" s="31">
        <f t="shared" si="3"/>
        <v>0</v>
      </c>
      <c r="H6" s="32">
        <f>RANK(G6, $G$2:$G$86, 0)</f>
        <v>4</v>
      </c>
      <c r="I6" s="16">
        <f>IFERROR((G6/'League Calculation'!B$9)*100, "")</f>
        <v>0</v>
      </c>
      <c r="J6" s="30">
        <v>0</v>
      </c>
      <c r="K6" s="30">
        <v>0</v>
      </c>
      <c r="L6" s="31">
        <f t="shared" si="4"/>
        <v>0</v>
      </c>
      <c r="M6" s="32">
        <f>RANK(L6,$L$2:$L$986, 0)</f>
        <v>4</v>
      </c>
      <c r="N6" s="16">
        <f>IFERROR((L6/'League Calculation'!C$9)*100, "")</f>
        <v>0</v>
      </c>
      <c r="O6" s="31">
        <f t="shared" si="0"/>
        <v>0</v>
      </c>
      <c r="P6" s="31">
        <f t="shared" si="1"/>
        <v>0</v>
      </c>
      <c r="Q6" s="31">
        <f t="shared" si="2"/>
        <v>0</v>
      </c>
      <c r="R6" s="32">
        <f>RANK(Q6,$Q$2:$Q$59986, 0)</f>
        <v>4</v>
      </c>
      <c r="S6" s="16">
        <f>IFERROR((Q6/'League Calculation'!J$9)*100, "")</f>
        <v>0</v>
      </c>
    </row>
    <row r="1048562" spans="8:9">
      <c r="H1048562" s="11">
        <f>SUM(H5)</f>
        <v>4</v>
      </c>
      <c r="I1048562" s="17">
        <f>SUM(I2:I1048561)</f>
        <v>275</v>
      </c>
    </row>
  </sheetData>
  <sheetProtection selectLockedCells="1"/>
  <autoFilter ref="A1:A1048562" xr:uid="{6BAAF1A2-D2D6-4B48-870F-8078F5F986F2}"/>
  <sortState xmlns:xlrd2="http://schemas.microsoft.com/office/spreadsheetml/2017/richdata2" ref="A2:S19">
    <sortCondition ref="R2:R19"/>
  </sortState>
  <conditionalFormatting sqref="H1:H1048576 M1:M1048576 R1:R1048576">
    <cfRule type="cellIs" dxfId="17" priority="13" operator="equal">
      <formula>3</formula>
    </cfRule>
    <cfRule type="cellIs" dxfId="16" priority="14" operator="equal">
      <formula>2</formula>
    </cfRule>
    <cfRule type="cellIs" dxfId="15" priority="15" operator="equal">
      <formula>1</formula>
    </cfRule>
  </conditionalFormatting>
  <dataValidations count="1">
    <dataValidation type="list" allowBlank="1" showInputMessage="1" showErrorMessage="1" sqref="D2:D1048576" xr:uid="{5C2736D8-6D55-4844-B357-BE5844F46FFE}">
      <formula1>"Yes"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56DA-8F91-104E-A18C-973B6D793380}">
  <dimension ref="A1:AI1048570"/>
  <sheetViews>
    <sheetView zoomScale="85" zoomScaleNormal="85" workbookViewId="0">
      <pane xSplit="3" ySplit="1" topLeftCell="AE2" activePane="bottomRight" state="frozen"/>
      <selection activeCell="K28" sqref="K28"/>
      <selection pane="topRight" activeCell="K28" sqref="K28"/>
      <selection pane="bottomLeft" activeCell="K28" sqref="K28"/>
      <selection pane="bottomRight" activeCell="AI2" sqref="AI2"/>
    </sheetView>
  </sheetViews>
  <sheetFormatPr defaultColWidth="10.83203125" defaultRowHeight="15.5"/>
  <cols>
    <col min="1" max="1" width="30.5" style="5" bestFit="1" customWidth="1"/>
    <col min="2" max="2" width="6.5" style="5" customWidth="1"/>
    <col min="3" max="3" width="17.83203125" style="5" bestFit="1" customWidth="1"/>
    <col min="4" max="6" width="10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6" width="10.83203125" style="7"/>
    <col min="17" max="17" width="10.83203125" style="10"/>
    <col min="18" max="18" width="10.83203125" style="11"/>
    <col min="19" max="19" width="10.83203125" style="17"/>
    <col min="20" max="21" width="10.83203125" style="7"/>
    <col min="22" max="22" width="10.83203125" style="10"/>
    <col min="23" max="24" width="10.83203125" style="7"/>
    <col min="25" max="25" width="10.83203125" style="10"/>
    <col min="26" max="27" width="0" style="10" hidden="1" customWidth="1"/>
    <col min="28" max="28" width="10.83203125" style="10"/>
    <col min="29" max="29" width="10.83203125" style="11"/>
    <col min="30" max="30" width="10.83203125" style="17"/>
    <col min="31" max="33" width="10.83203125" style="10"/>
    <col min="34" max="34" width="10.83203125" style="11"/>
    <col min="35" max="35" width="10.83203125" style="17"/>
    <col min="36" max="16384" width="10.83203125" style="11"/>
  </cols>
  <sheetData>
    <row r="1" spans="1:35" s="9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67</v>
      </c>
      <c r="K1" s="6" t="s">
        <v>44</v>
      </c>
      <c r="L1" s="12" t="s">
        <v>45</v>
      </c>
      <c r="M1" s="13" t="s">
        <v>96</v>
      </c>
      <c r="N1" s="15" t="s">
        <v>23</v>
      </c>
      <c r="O1" s="6" t="s">
        <v>68</v>
      </c>
      <c r="P1" s="6" t="s">
        <v>46</v>
      </c>
      <c r="Q1" s="12" t="s">
        <v>47</v>
      </c>
      <c r="R1" s="13" t="s">
        <v>96</v>
      </c>
      <c r="S1" s="15" t="s">
        <v>24</v>
      </c>
      <c r="T1" s="6" t="s">
        <v>59</v>
      </c>
      <c r="U1" s="6" t="s">
        <v>49</v>
      </c>
      <c r="V1" s="12" t="s">
        <v>51</v>
      </c>
      <c r="W1" s="6" t="s">
        <v>60</v>
      </c>
      <c r="X1" s="6" t="s">
        <v>50</v>
      </c>
      <c r="Y1" s="12" t="s">
        <v>52</v>
      </c>
      <c r="Z1" s="12" t="s">
        <v>66</v>
      </c>
      <c r="AA1" s="12" t="s">
        <v>56</v>
      </c>
      <c r="AB1" s="12" t="s">
        <v>53</v>
      </c>
      <c r="AC1" s="13" t="s">
        <v>96</v>
      </c>
      <c r="AD1" s="15" t="s">
        <v>9</v>
      </c>
      <c r="AE1" s="12" t="s">
        <v>63</v>
      </c>
      <c r="AF1" s="12" t="s">
        <v>41</v>
      </c>
      <c r="AG1" s="12" t="s">
        <v>43</v>
      </c>
      <c r="AH1" s="13" t="s">
        <v>96</v>
      </c>
      <c r="AI1" s="15" t="s">
        <v>42</v>
      </c>
    </row>
    <row r="2" spans="1:35" s="33" customFormat="1">
      <c r="A2" s="41" t="s">
        <v>69</v>
      </c>
      <c r="B2">
        <v>2</v>
      </c>
      <c r="C2" s="41" t="s">
        <v>82</v>
      </c>
      <c r="D2" s="29"/>
      <c r="E2" s="30">
        <v>2.85</v>
      </c>
      <c r="F2" s="30">
        <v>3.6</v>
      </c>
      <c r="G2" s="31">
        <f>(IF(E2=0, "0.00",10-E2))+F2</f>
        <v>10.75</v>
      </c>
      <c r="H2" s="32">
        <f>RANK(G2, $G$2:$G$94, 0)</f>
        <v>1</v>
      </c>
      <c r="I2" s="16">
        <f>IFERROR((G2/'League Calculation'!B$5)*100, "")</f>
        <v>100</v>
      </c>
      <c r="J2" s="30">
        <v>4.0999999999999996</v>
      </c>
      <c r="K2" s="30">
        <v>4.2</v>
      </c>
      <c r="L2" s="31">
        <f>(IF(J2=0, "0.00",10-J2))+K2</f>
        <v>10.100000000000001</v>
      </c>
      <c r="M2" s="32">
        <f>RANK(L2,$L$2:$L$994)</f>
        <v>1</v>
      </c>
      <c r="N2" s="16">
        <f>IFERROR((L2/'League Calculation'!H$5)*100, "")</f>
        <v>100</v>
      </c>
      <c r="O2" s="30">
        <v>2.4</v>
      </c>
      <c r="P2" s="30">
        <v>2.4</v>
      </c>
      <c r="Q2" s="31">
        <f>(IF(O2=0, "0.00",10-O2))+P2</f>
        <v>10</v>
      </c>
      <c r="R2" s="32">
        <f>RANK(Q2,$Q$2:$Q$994, 0)</f>
        <v>1</v>
      </c>
      <c r="S2" s="16">
        <f>IFERROR((Q2/'League Calculation'!I$5)*100, "")</f>
        <v>100</v>
      </c>
      <c r="T2" s="30">
        <v>2.2999999999999998</v>
      </c>
      <c r="U2" s="30">
        <v>3.8</v>
      </c>
      <c r="V2" s="31">
        <f>(IF(T2=0, "0.00",10-T2))+U2</f>
        <v>11.5</v>
      </c>
      <c r="W2" s="30">
        <v>2.2999999999999998</v>
      </c>
      <c r="X2" s="30">
        <v>3.8</v>
      </c>
      <c r="Y2" s="31">
        <f>(IF(W2=0, "0.00",10-W2))+X2</f>
        <v>11.5</v>
      </c>
      <c r="Z2" s="31">
        <f t="shared" ref="Z2:AB3" si="0">(T2+W2)/2</f>
        <v>2.2999999999999998</v>
      </c>
      <c r="AA2" s="31">
        <f t="shared" si="0"/>
        <v>3.8</v>
      </c>
      <c r="AB2" s="31">
        <f t="shared" si="0"/>
        <v>11.5</v>
      </c>
      <c r="AC2" s="32">
        <f>RANK(AB2,$AB$2:$AB$994, 0)</f>
        <v>1</v>
      </c>
      <c r="AD2" s="16">
        <f>IFERROR((AB2/'League Calculation'!C$5)*100, "")</f>
        <v>100</v>
      </c>
      <c r="AE2" s="31">
        <f>E2+J2+O2+W2</f>
        <v>11.649999999999999</v>
      </c>
      <c r="AF2" s="31">
        <f>F2+K2+P2+X2</f>
        <v>14</v>
      </c>
      <c r="AG2" s="31">
        <f>G2+L2+Q2+AB2</f>
        <v>42.35</v>
      </c>
      <c r="AH2" s="32">
        <f>RANK(AG2,$AG$2:$AG$59994, 0)</f>
        <v>1</v>
      </c>
      <c r="AI2" s="16">
        <f>IFERROR((AG2/'League Calculation'!J$5)*100, "")</f>
        <v>100</v>
      </c>
    </row>
    <row r="3" spans="1:35" s="33" customFormat="1">
      <c r="A3" s="41" t="s">
        <v>73</v>
      </c>
      <c r="B3">
        <v>1</v>
      </c>
      <c r="C3" s="41" t="s">
        <v>81</v>
      </c>
      <c r="D3" s="29"/>
      <c r="E3" s="30">
        <v>3.15</v>
      </c>
      <c r="F3" s="30">
        <v>3.4</v>
      </c>
      <c r="G3" s="31">
        <f>(IF(E3=0, "0.00",10-E3))+F3</f>
        <v>10.25</v>
      </c>
      <c r="H3" s="32">
        <f>RANK(G3, $G$2:$G$94, 0)</f>
        <v>2</v>
      </c>
      <c r="I3" s="16">
        <f>IFERROR((G3/'League Calculation'!B$5)*100, "")</f>
        <v>95.348837209302332</v>
      </c>
      <c r="J3" s="30">
        <v>5.8</v>
      </c>
      <c r="K3" s="30">
        <v>4.5</v>
      </c>
      <c r="L3" s="31">
        <f>(IF(J3=0, "0.00",10-J3))+K3</f>
        <v>8.6999999999999993</v>
      </c>
      <c r="M3" s="32">
        <f>RANK(L3,$L$2:$L$994)</f>
        <v>2</v>
      </c>
      <c r="N3" s="16">
        <f>IFERROR((L3/'League Calculation'!H$5)*100, "")</f>
        <v>86.138613861386119</v>
      </c>
      <c r="O3" s="30">
        <v>2.1</v>
      </c>
      <c r="P3" s="30">
        <v>1.1000000000000001</v>
      </c>
      <c r="Q3" s="31">
        <f>(IF(O3=0, "0.00",10-O3))+P3</f>
        <v>9</v>
      </c>
      <c r="R3" s="32">
        <f>RANK(Q3,$Q$2:$Q$994, 0)</f>
        <v>2</v>
      </c>
      <c r="S3" s="16">
        <f>IFERROR((Q3/'League Calculation'!I$5)*100, "")</f>
        <v>90</v>
      </c>
      <c r="T3" s="30">
        <v>2.1</v>
      </c>
      <c r="U3" s="30">
        <v>3.2</v>
      </c>
      <c r="V3" s="31">
        <f>(IF(T3=0, "0.00",10-T3))+U3</f>
        <v>11.100000000000001</v>
      </c>
      <c r="W3" s="30">
        <v>2.1</v>
      </c>
      <c r="X3" s="30">
        <v>3.2</v>
      </c>
      <c r="Y3" s="31">
        <f>(IF(W3=0, "0.00",10-W3))+X3</f>
        <v>11.100000000000001</v>
      </c>
      <c r="Z3" s="31">
        <f t="shared" si="0"/>
        <v>2.1</v>
      </c>
      <c r="AA3" s="31">
        <f t="shared" si="0"/>
        <v>3.2</v>
      </c>
      <c r="AB3" s="31">
        <f t="shared" si="0"/>
        <v>11.100000000000001</v>
      </c>
      <c r="AC3" s="32">
        <f>RANK(AB3,$AB$2:$AB$994, 0)</f>
        <v>2</v>
      </c>
      <c r="AD3" s="16">
        <f>IFERROR((AB3/'League Calculation'!C$5)*100, "")</f>
        <v>96.521739130434796</v>
      </c>
      <c r="AE3" s="31">
        <f>E3+J3+O3+W3</f>
        <v>13.149999999999999</v>
      </c>
      <c r="AF3" s="31">
        <f>F3+K3+P3+X3</f>
        <v>12.2</v>
      </c>
      <c r="AG3" s="31">
        <f>G3+L3+Q3+AB3</f>
        <v>39.049999999999997</v>
      </c>
      <c r="AH3" s="32">
        <f>RANK(AG3,$AG$2:$AG$59994, 0)</f>
        <v>2</v>
      </c>
      <c r="AI3" s="16">
        <f>IFERROR((AG3/'League Calculation'!J$5)*100, "")</f>
        <v>92.207792207792195</v>
      </c>
    </row>
    <row r="4" spans="1:35" s="39" customFormat="1">
      <c r="A4" s="35"/>
      <c r="B4" s="36"/>
      <c r="C4" s="35"/>
      <c r="D4" s="36"/>
      <c r="E4" s="37"/>
      <c r="F4" s="37"/>
      <c r="G4" s="38"/>
      <c r="I4" s="40"/>
      <c r="J4" s="37"/>
      <c r="K4" s="37"/>
      <c r="L4" s="38"/>
      <c r="N4" s="40"/>
      <c r="O4" s="37"/>
      <c r="P4" s="37"/>
      <c r="Q4" s="38"/>
      <c r="S4" s="40"/>
      <c r="T4" s="37"/>
      <c r="U4" s="37"/>
      <c r="V4" s="38"/>
      <c r="W4" s="37"/>
      <c r="X4" s="37"/>
      <c r="Y4" s="38"/>
      <c r="Z4" s="38"/>
      <c r="AA4" s="38"/>
      <c r="AB4" s="38"/>
      <c r="AD4" s="40"/>
      <c r="AE4" s="38"/>
      <c r="AF4" s="38"/>
      <c r="AG4" s="38"/>
      <c r="AI4" s="40"/>
    </row>
    <row r="5" spans="1:35">
      <c r="H5" s="18"/>
      <c r="M5" s="18"/>
      <c r="R5" s="18"/>
      <c r="AC5" s="18"/>
      <c r="AH5" s="18"/>
    </row>
    <row r="6" spans="1:35">
      <c r="H6" s="18"/>
      <c r="M6" s="18"/>
      <c r="R6" s="18"/>
      <c r="AC6" s="18"/>
      <c r="AH6" s="18"/>
    </row>
    <row r="7" spans="1:35">
      <c r="H7" s="18"/>
      <c r="M7" s="18"/>
      <c r="R7" s="18"/>
      <c r="AC7" s="18"/>
      <c r="AH7" s="18"/>
    </row>
    <row r="8" spans="1:35">
      <c r="H8" s="18"/>
      <c r="M8" s="18"/>
      <c r="R8" s="18"/>
      <c r="AC8" s="18"/>
      <c r="AH8" s="18"/>
    </row>
    <row r="9" spans="1:35">
      <c r="H9" s="18"/>
      <c r="M9" s="18"/>
      <c r="R9" s="18"/>
      <c r="AC9" s="18"/>
      <c r="AH9" s="18"/>
    </row>
    <row r="10" spans="1:35">
      <c r="H10" s="18"/>
      <c r="M10" s="18"/>
      <c r="R10" s="18"/>
      <c r="AC10" s="18"/>
      <c r="AH10" s="18"/>
    </row>
    <row r="11" spans="1:35">
      <c r="H11" s="18"/>
      <c r="M11" s="18"/>
      <c r="R11" s="18"/>
      <c r="AC11" s="18"/>
      <c r="AH11" s="18"/>
    </row>
    <row r="12" spans="1:35">
      <c r="H12" s="18"/>
      <c r="M12" s="18"/>
      <c r="R12" s="18"/>
      <c r="AC12" s="18"/>
      <c r="AH12" s="18"/>
    </row>
    <row r="13" spans="1:35">
      <c r="H13" s="18"/>
      <c r="M13" s="18"/>
      <c r="R13" s="18"/>
      <c r="AC13" s="18"/>
      <c r="AH13" s="18"/>
    </row>
    <row r="14" spans="1:35">
      <c r="H14" s="18"/>
      <c r="M14" s="18"/>
      <c r="R14" s="18"/>
      <c r="AC14" s="18"/>
      <c r="AH14" s="18"/>
    </row>
    <row r="15" spans="1:35">
      <c r="H15" s="18"/>
      <c r="M15" s="18"/>
      <c r="R15" s="18"/>
      <c r="AC15" s="18"/>
      <c r="AH15" s="18"/>
    </row>
    <row r="16" spans="1:35">
      <c r="H16" s="18"/>
      <c r="M16" s="18"/>
      <c r="R16" s="18"/>
      <c r="AC16" s="18"/>
      <c r="AH16" s="18"/>
    </row>
    <row r="17" spans="8:34">
      <c r="H17" s="18"/>
      <c r="M17" s="18"/>
      <c r="R17" s="18"/>
      <c r="AC17" s="18"/>
      <c r="AH17" s="18"/>
    </row>
    <row r="18" spans="8:34">
      <c r="H18" s="18"/>
      <c r="M18" s="18"/>
      <c r="R18" s="18"/>
      <c r="AC18" s="18"/>
      <c r="AH18" s="18"/>
    </row>
    <row r="19" spans="8:34">
      <c r="H19" s="18"/>
      <c r="M19" s="18"/>
      <c r="R19" s="18"/>
      <c r="AC19" s="18"/>
      <c r="AH19" s="18"/>
    </row>
    <row r="20" spans="8:34">
      <c r="H20" s="18"/>
      <c r="M20" s="18"/>
      <c r="R20" s="18"/>
      <c r="AC20" s="18"/>
      <c r="AH20" s="18"/>
    </row>
    <row r="21" spans="8:34">
      <c r="H21" s="18"/>
      <c r="M21" s="18"/>
      <c r="R21" s="18"/>
      <c r="AC21" s="18"/>
      <c r="AH21" s="18"/>
    </row>
    <row r="22" spans="8:34">
      <c r="H22" s="18"/>
      <c r="M22" s="18"/>
      <c r="R22" s="18"/>
      <c r="AC22" s="18"/>
      <c r="AH22" s="18"/>
    </row>
    <row r="23" spans="8:34">
      <c r="H23" s="18"/>
      <c r="M23" s="18"/>
      <c r="R23" s="18"/>
      <c r="AC23" s="18"/>
      <c r="AH23" s="18"/>
    </row>
    <row r="24" spans="8:34">
      <c r="H24" s="18"/>
      <c r="M24" s="18"/>
      <c r="R24" s="18"/>
      <c r="AC24" s="18"/>
      <c r="AH24" s="18"/>
    </row>
    <row r="25" spans="8:34">
      <c r="H25" s="18"/>
      <c r="M25" s="18"/>
      <c r="R25" s="18"/>
      <c r="AC25" s="18"/>
      <c r="AH25" s="18"/>
    </row>
    <row r="1048570" spans="8:9">
      <c r="H1048570" s="11" t="e">
        <f>SUM(#REF!)</f>
        <v>#REF!</v>
      </c>
      <c r="I1048570" s="17">
        <f>SUM(I2:I1048569)</f>
        <v>195.34883720930233</v>
      </c>
    </row>
  </sheetData>
  <sheetProtection selectLockedCells="1"/>
  <sortState xmlns:xlrd2="http://schemas.microsoft.com/office/spreadsheetml/2017/richdata2" ref="A2:AI1048570">
    <sortCondition ref="AH2:AH1048570"/>
  </sortState>
  <conditionalFormatting sqref="AH1:AH1048576 AC1:AC1048576 R1:R1048576 M1:M1048576 H1:H1048576">
    <cfRule type="cellIs" dxfId="14" priority="13" operator="equal">
      <formula>3</formula>
    </cfRule>
    <cfRule type="cellIs" dxfId="13" priority="14" operator="equal">
      <formula>2</formula>
    </cfRule>
    <cfRule type="cellIs" dxfId="12" priority="15" operator="equal">
      <formula>1</formula>
    </cfRule>
  </conditionalFormatting>
  <dataValidations count="1">
    <dataValidation type="list" allowBlank="1" showInputMessage="1" showErrorMessage="1" sqref="D2:D1048576" xr:uid="{9CBB6845-181F-C441-BF28-25478559D739}">
      <formula1>"Yes"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5556-9788-F746-91B0-F70E631810BE}">
  <dimension ref="A1:AC1048572"/>
  <sheetViews>
    <sheetView zoomScale="75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AE5" sqref="AE5"/>
    </sheetView>
  </sheetViews>
  <sheetFormatPr defaultColWidth="10.83203125" defaultRowHeight="15.5"/>
  <cols>
    <col min="1" max="1" width="30.5" style="5" bestFit="1" customWidth="1"/>
    <col min="2" max="2" width="9.5" style="5" customWidth="1"/>
    <col min="3" max="3" width="22" style="5" bestFit="1" customWidth="1"/>
    <col min="4" max="4" width="4" style="5" bestFit="1" customWidth="1"/>
    <col min="5" max="6" width="10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6" width="10.83203125" style="7"/>
    <col min="17" max="17" width="10.83203125" style="10"/>
    <col min="18" max="18" width="10.83203125" style="11"/>
    <col min="19" max="19" width="10.83203125" style="17"/>
    <col min="20" max="21" width="10.83203125" style="7"/>
    <col min="22" max="22" width="10.83203125" style="10"/>
    <col min="23" max="23" width="10.83203125" style="11"/>
    <col min="24" max="24" width="10.83203125" style="17"/>
    <col min="25" max="27" width="10.83203125" style="10"/>
    <col min="28" max="28" width="10.83203125" style="11"/>
    <col min="29" max="29" width="10.83203125" style="17"/>
    <col min="30" max="16384" width="10.83203125" style="5"/>
  </cols>
  <sheetData>
    <row r="1" spans="1:29" s="4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67</v>
      </c>
      <c r="K1" s="6" t="s">
        <v>44</v>
      </c>
      <c r="L1" s="12" t="s">
        <v>45</v>
      </c>
      <c r="M1" s="13" t="s">
        <v>96</v>
      </c>
      <c r="N1" s="15" t="s">
        <v>23</v>
      </c>
      <c r="O1" s="6" t="s">
        <v>68</v>
      </c>
      <c r="P1" s="6" t="s">
        <v>46</v>
      </c>
      <c r="Q1" s="12" t="s">
        <v>47</v>
      </c>
      <c r="R1" s="13" t="s">
        <v>96</v>
      </c>
      <c r="S1" s="15" t="s">
        <v>24</v>
      </c>
      <c r="T1" s="6" t="s">
        <v>64</v>
      </c>
      <c r="U1" s="6" t="s">
        <v>35</v>
      </c>
      <c r="V1" s="12" t="s">
        <v>36</v>
      </c>
      <c r="W1" s="13" t="s">
        <v>96</v>
      </c>
      <c r="X1" s="15" t="s">
        <v>9</v>
      </c>
      <c r="Y1" s="12" t="s">
        <v>63</v>
      </c>
      <c r="Z1" s="12" t="s">
        <v>41</v>
      </c>
      <c r="AA1" s="12" t="s">
        <v>43</v>
      </c>
      <c r="AB1" s="13" t="s">
        <v>96</v>
      </c>
      <c r="AC1" s="15" t="s">
        <v>48</v>
      </c>
    </row>
    <row r="2" spans="1:29" s="29" customFormat="1">
      <c r="A2" s="41" t="s">
        <v>74</v>
      </c>
      <c r="B2">
        <v>20</v>
      </c>
      <c r="C2" s="41" t="s">
        <v>83</v>
      </c>
      <c r="D2"/>
      <c r="E2" s="30">
        <v>0</v>
      </c>
      <c r="F2" s="30">
        <v>0</v>
      </c>
      <c r="G2" s="31">
        <f t="shared" ref="G2:G21" si="0">(IF(E2=0, "0.00",10-E2))+F2</f>
        <v>0</v>
      </c>
      <c r="H2" s="32">
        <f t="shared" ref="H2:H21" si="1">RANK(G2, $G$2:$G$96, 0)</f>
        <v>18</v>
      </c>
      <c r="I2" s="16">
        <f>IFERROR((G2/'League Calculation'!B$3)*100, "")</f>
        <v>0</v>
      </c>
      <c r="J2" s="30">
        <v>0.9</v>
      </c>
      <c r="K2" s="30">
        <v>3.4</v>
      </c>
      <c r="L2" s="31">
        <f t="shared" ref="L2:L21" si="2">(IF(J2=0, "0.00",10-J2))+K2</f>
        <v>12.5</v>
      </c>
      <c r="M2" s="32">
        <f t="shared" ref="M2:M21" si="3">RANK(L2,$L$2:$L$996)</f>
        <v>3</v>
      </c>
      <c r="N2" s="16">
        <f>IFERROR((L2/'League Calculation'!H$3)*100, "")</f>
        <v>93.984962406015043</v>
      </c>
      <c r="O2" s="30">
        <v>1</v>
      </c>
      <c r="P2" s="30">
        <v>3.1</v>
      </c>
      <c r="Q2" s="31">
        <f t="shared" ref="Q2:Q21" si="4">(IF(O2=0, "0.00",10-O2))+P2</f>
        <v>12.1</v>
      </c>
      <c r="R2" s="32">
        <f t="shared" ref="R2:R21" si="5">RANK(Q2,$Q$2:$Q$996, 0)</f>
        <v>1</v>
      </c>
      <c r="S2" s="16">
        <f>IFERROR((Q2/'League Calculation'!I$3)*100, "")</f>
        <v>100</v>
      </c>
      <c r="T2" s="30">
        <v>0.7</v>
      </c>
      <c r="U2" s="30">
        <v>2.6</v>
      </c>
      <c r="V2" s="31">
        <f t="shared" ref="V2:V21" si="6">(IF(T2=0, "0.00",10-T2))+U2</f>
        <v>11.9</v>
      </c>
      <c r="W2" s="32">
        <f t="shared" ref="W2:W21" si="7">RANK(V2,$V$2:$V$996, 0)</f>
        <v>2</v>
      </c>
      <c r="X2" s="16">
        <f>IFERROR((V2/'League Calculation'!C$3)*100, "")</f>
        <v>93.7007874015748</v>
      </c>
      <c r="Y2" s="31">
        <f t="shared" ref="Y2:Y21" si="8">E2+J2+O2+T2</f>
        <v>2.5999999999999996</v>
      </c>
      <c r="Z2" s="31">
        <f t="shared" ref="Z2:Z21" si="9">F2+K2+P2+U2</f>
        <v>9.1</v>
      </c>
      <c r="AA2" s="31">
        <f t="shared" ref="AA2:AA21" si="10">G2+L2+Q2+V2</f>
        <v>36.5</v>
      </c>
      <c r="AB2" s="32">
        <f t="shared" ref="AB2:AB21" si="11">RANK(AA2,$AA$2:$AA$59996, 0)</f>
        <v>1</v>
      </c>
      <c r="AC2" s="16">
        <f>IFERROR((AA2/'League Calculation'!J$3)*100, "")</f>
        <v>100</v>
      </c>
    </row>
    <row r="3" spans="1:29" s="29" customFormat="1">
      <c r="A3" s="41" t="s">
        <v>73</v>
      </c>
      <c r="B3">
        <v>12</v>
      </c>
      <c r="C3" s="41" t="s">
        <v>146</v>
      </c>
      <c r="D3" t="s">
        <v>147</v>
      </c>
      <c r="E3" s="30">
        <v>2.5</v>
      </c>
      <c r="F3" s="30">
        <v>4.2</v>
      </c>
      <c r="G3" s="31">
        <f t="shared" si="0"/>
        <v>11.7</v>
      </c>
      <c r="H3" s="32">
        <f t="shared" si="1"/>
        <v>4</v>
      </c>
      <c r="I3" s="16">
        <f>IFERROR((G3/'League Calculation'!B$3)*100, "")</f>
        <v>92.857142857142833</v>
      </c>
      <c r="J3" s="30">
        <v>1.2</v>
      </c>
      <c r="K3" s="30">
        <v>4.5</v>
      </c>
      <c r="L3" s="31">
        <f t="shared" si="2"/>
        <v>13.3</v>
      </c>
      <c r="M3" s="32">
        <f t="shared" si="3"/>
        <v>1</v>
      </c>
      <c r="N3" s="16">
        <f>IFERROR((L3/'League Calculation'!H$3)*100, "")</f>
        <v>100</v>
      </c>
      <c r="O3" s="30">
        <v>0</v>
      </c>
      <c r="P3" s="30">
        <v>0</v>
      </c>
      <c r="Q3" s="31">
        <f t="shared" si="4"/>
        <v>0</v>
      </c>
      <c r="R3" s="32">
        <f t="shared" si="5"/>
        <v>10</v>
      </c>
      <c r="S3" s="16">
        <f>IFERROR((Q3/'League Calculation'!I$3)*100, "")</f>
        <v>0</v>
      </c>
      <c r="T3" s="30">
        <v>1.1000000000000001</v>
      </c>
      <c r="U3" s="30">
        <v>2.4</v>
      </c>
      <c r="V3" s="31">
        <f t="shared" si="6"/>
        <v>11.3</v>
      </c>
      <c r="W3" s="32">
        <f t="shared" si="7"/>
        <v>7</v>
      </c>
      <c r="X3" s="16">
        <f>IFERROR((V3/'League Calculation'!C$3)*100, "")</f>
        <v>88.976377952755897</v>
      </c>
      <c r="Y3" s="31">
        <f t="shared" si="8"/>
        <v>4.8000000000000007</v>
      </c>
      <c r="Z3" s="31">
        <f t="shared" si="9"/>
        <v>11.1</v>
      </c>
      <c r="AA3" s="31">
        <f t="shared" si="10"/>
        <v>36.299999999999997</v>
      </c>
      <c r="AB3" s="32">
        <f t="shared" si="11"/>
        <v>2</v>
      </c>
      <c r="AC3" s="16">
        <f>IFERROR((AA3/'League Calculation'!J$3)*100, "")</f>
        <v>99.452054794520535</v>
      </c>
    </row>
    <row r="4" spans="1:29" s="29" customFormat="1">
      <c r="A4" s="41" t="s">
        <v>73</v>
      </c>
      <c r="B4">
        <v>13</v>
      </c>
      <c r="C4" s="41" t="s">
        <v>85</v>
      </c>
      <c r="D4"/>
      <c r="E4" s="30">
        <v>2.8</v>
      </c>
      <c r="F4" s="30">
        <v>5.4</v>
      </c>
      <c r="G4" s="31">
        <f t="shared" si="0"/>
        <v>12.600000000000001</v>
      </c>
      <c r="H4" s="32">
        <f t="shared" si="1"/>
        <v>1</v>
      </c>
      <c r="I4" s="16">
        <f>IFERROR((G4/'League Calculation'!B$3)*100, "")</f>
        <v>100</v>
      </c>
      <c r="J4" s="30">
        <v>3.5</v>
      </c>
      <c r="K4" s="30">
        <v>4.3</v>
      </c>
      <c r="L4" s="31">
        <f t="shared" si="2"/>
        <v>10.8</v>
      </c>
      <c r="M4" s="32">
        <f t="shared" si="3"/>
        <v>6</v>
      </c>
      <c r="N4" s="16">
        <f>IFERROR((L4/'League Calculation'!H$3)*100, "")</f>
        <v>81.203007518796994</v>
      </c>
      <c r="O4" s="30">
        <v>0</v>
      </c>
      <c r="P4" s="30">
        <v>0</v>
      </c>
      <c r="Q4" s="31">
        <f t="shared" si="4"/>
        <v>0</v>
      </c>
      <c r="R4" s="32">
        <f t="shared" si="5"/>
        <v>10</v>
      </c>
      <c r="S4" s="16">
        <f>IFERROR((Q4/'League Calculation'!I$3)*100, "")</f>
        <v>0</v>
      </c>
      <c r="T4" s="30">
        <v>0.7</v>
      </c>
      <c r="U4" s="30">
        <v>3.4</v>
      </c>
      <c r="V4" s="31">
        <f t="shared" si="6"/>
        <v>12.700000000000001</v>
      </c>
      <c r="W4" s="32">
        <f t="shared" si="7"/>
        <v>1</v>
      </c>
      <c r="X4" s="16">
        <f>IFERROR((V4/'League Calculation'!C$3)*100, "")</f>
        <v>100</v>
      </c>
      <c r="Y4" s="31">
        <f t="shared" si="8"/>
        <v>7</v>
      </c>
      <c r="Z4" s="31">
        <f t="shared" si="9"/>
        <v>13.1</v>
      </c>
      <c r="AA4" s="31">
        <f t="shared" si="10"/>
        <v>36.1</v>
      </c>
      <c r="AB4" s="32">
        <f t="shared" si="11"/>
        <v>3</v>
      </c>
      <c r="AC4" s="16">
        <f>IFERROR((AA4/'League Calculation'!J$3)*100, "")</f>
        <v>98.904109589041099</v>
      </c>
    </row>
    <row r="5" spans="1:29" s="29" customFormat="1">
      <c r="A5" s="41" t="s">
        <v>124</v>
      </c>
      <c r="B5">
        <v>18</v>
      </c>
      <c r="C5" s="41" t="s">
        <v>150</v>
      </c>
      <c r="D5"/>
      <c r="E5" s="30">
        <v>2</v>
      </c>
      <c r="F5" s="30">
        <v>3.1</v>
      </c>
      <c r="G5" s="31">
        <f t="shared" si="0"/>
        <v>11.1</v>
      </c>
      <c r="H5" s="32">
        <f t="shared" si="1"/>
        <v>8</v>
      </c>
      <c r="I5" s="16">
        <f>IFERROR((G5/'League Calculation'!B$3)*100, "")</f>
        <v>88.095238095238088</v>
      </c>
      <c r="J5" s="30">
        <v>1.2</v>
      </c>
      <c r="K5" s="30">
        <v>4.5</v>
      </c>
      <c r="L5" s="31">
        <f t="shared" si="2"/>
        <v>13.3</v>
      </c>
      <c r="M5" s="32">
        <f t="shared" si="3"/>
        <v>1</v>
      </c>
      <c r="N5" s="16">
        <f>IFERROR((L5/'League Calculation'!H$3)*100, "")</f>
        <v>100</v>
      </c>
      <c r="O5" s="30">
        <v>0</v>
      </c>
      <c r="P5" s="30">
        <v>0</v>
      </c>
      <c r="Q5" s="31">
        <f t="shared" si="4"/>
        <v>0</v>
      </c>
      <c r="R5" s="32">
        <f t="shared" si="5"/>
        <v>10</v>
      </c>
      <c r="S5" s="16">
        <f>IFERROR((Q5/'League Calculation'!I$3)*100, "")</f>
        <v>0</v>
      </c>
      <c r="T5" s="30">
        <v>1</v>
      </c>
      <c r="U5" s="30">
        <v>2.4</v>
      </c>
      <c r="V5" s="31">
        <f t="shared" si="6"/>
        <v>11.4</v>
      </c>
      <c r="W5" s="32">
        <f t="shared" si="7"/>
        <v>5</v>
      </c>
      <c r="X5" s="16">
        <f>IFERROR((V5/'League Calculation'!C$3)*100, "")</f>
        <v>89.763779527559052</v>
      </c>
      <c r="Y5" s="31">
        <f t="shared" si="8"/>
        <v>4.2</v>
      </c>
      <c r="Z5" s="31">
        <f t="shared" si="9"/>
        <v>10</v>
      </c>
      <c r="AA5" s="31">
        <f t="shared" si="10"/>
        <v>35.799999999999997</v>
      </c>
      <c r="AB5" s="32">
        <f t="shared" si="11"/>
        <v>4</v>
      </c>
      <c r="AC5" s="16">
        <f>IFERROR((AA5/'League Calculation'!J$3)*100, "")</f>
        <v>98.082191780821915</v>
      </c>
    </row>
    <row r="6" spans="1:29" s="29" customFormat="1">
      <c r="A6" s="41" t="s">
        <v>136</v>
      </c>
      <c r="B6">
        <v>2</v>
      </c>
      <c r="C6" s="41" t="s">
        <v>141</v>
      </c>
      <c r="D6"/>
      <c r="E6" s="30">
        <v>2.7</v>
      </c>
      <c r="F6" s="30">
        <v>4.5</v>
      </c>
      <c r="G6" s="31">
        <f t="shared" si="0"/>
        <v>11.8</v>
      </c>
      <c r="H6" s="32">
        <f t="shared" si="1"/>
        <v>3</v>
      </c>
      <c r="I6" s="16">
        <f>IFERROR((G6/'League Calculation'!B$3)*100, "")</f>
        <v>93.650793650793645</v>
      </c>
      <c r="J6" s="30">
        <v>0</v>
      </c>
      <c r="K6" s="30">
        <v>0</v>
      </c>
      <c r="L6" s="31">
        <f t="shared" si="2"/>
        <v>0</v>
      </c>
      <c r="M6" s="32">
        <f t="shared" si="3"/>
        <v>12</v>
      </c>
      <c r="N6" s="16">
        <f>IFERROR((L6/'League Calculation'!H$3)*100, "")</f>
        <v>0</v>
      </c>
      <c r="O6" s="30">
        <v>2.2999999999999998</v>
      </c>
      <c r="P6" s="30">
        <v>3.6</v>
      </c>
      <c r="Q6" s="31">
        <f t="shared" si="4"/>
        <v>11.3</v>
      </c>
      <c r="R6" s="32">
        <f t="shared" si="5"/>
        <v>2</v>
      </c>
      <c r="S6" s="16">
        <f>IFERROR((Q6/'League Calculation'!I$3)*100, "")</f>
        <v>93.388429752066131</v>
      </c>
      <c r="T6" s="30">
        <v>2.7</v>
      </c>
      <c r="U6" s="30">
        <v>3.4</v>
      </c>
      <c r="V6" s="31">
        <f t="shared" si="6"/>
        <v>10.7</v>
      </c>
      <c r="W6" s="32">
        <f t="shared" si="7"/>
        <v>14</v>
      </c>
      <c r="X6" s="16">
        <f>IFERROR((V6/'League Calculation'!C$3)*100, "")</f>
        <v>84.251968503936993</v>
      </c>
      <c r="Y6" s="31">
        <f t="shared" si="8"/>
        <v>7.7</v>
      </c>
      <c r="Z6" s="31">
        <f t="shared" si="9"/>
        <v>11.5</v>
      </c>
      <c r="AA6" s="31">
        <f t="shared" si="10"/>
        <v>33.799999999999997</v>
      </c>
      <c r="AB6" s="32">
        <f t="shared" si="11"/>
        <v>5</v>
      </c>
      <c r="AC6" s="16">
        <f>IFERROR((AA6/'League Calculation'!J$3)*100, "")</f>
        <v>92.602739726027394</v>
      </c>
    </row>
    <row r="7" spans="1:29" s="29" customFormat="1">
      <c r="A7" s="41" t="s">
        <v>74</v>
      </c>
      <c r="B7">
        <v>8</v>
      </c>
      <c r="C7" s="41" t="s">
        <v>143</v>
      </c>
      <c r="D7"/>
      <c r="E7" s="30">
        <v>2.4</v>
      </c>
      <c r="F7" s="30">
        <v>4</v>
      </c>
      <c r="G7" s="31">
        <f t="shared" si="0"/>
        <v>11.6</v>
      </c>
      <c r="H7" s="32">
        <f t="shared" si="1"/>
        <v>5</v>
      </c>
      <c r="I7" s="16">
        <f>IFERROR((G7/'League Calculation'!B$3)*100, "")</f>
        <v>92.063492063492049</v>
      </c>
      <c r="J7" s="30">
        <v>0</v>
      </c>
      <c r="K7" s="30">
        <v>0</v>
      </c>
      <c r="L7" s="31">
        <f t="shared" si="2"/>
        <v>0</v>
      </c>
      <c r="M7" s="32">
        <f t="shared" si="3"/>
        <v>12</v>
      </c>
      <c r="N7" s="16">
        <f>IFERROR((L7/'League Calculation'!H$3)*100, "")</f>
        <v>0</v>
      </c>
      <c r="O7" s="30">
        <v>1.3</v>
      </c>
      <c r="P7" s="30">
        <v>1.6</v>
      </c>
      <c r="Q7" s="31">
        <f t="shared" si="4"/>
        <v>10.299999999999999</v>
      </c>
      <c r="R7" s="32">
        <f t="shared" si="5"/>
        <v>4</v>
      </c>
      <c r="S7" s="16">
        <f>IFERROR((Q7/'League Calculation'!I$3)*100, "")</f>
        <v>85.123966942148755</v>
      </c>
      <c r="T7" s="30">
        <v>0.9</v>
      </c>
      <c r="U7" s="30">
        <v>2.4</v>
      </c>
      <c r="V7" s="31">
        <f t="shared" si="6"/>
        <v>11.5</v>
      </c>
      <c r="W7" s="32">
        <f t="shared" si="7"/>
        <v>3</v>
      </c>
      <c r="X7" s="16">
        <f>IFERROR((V7/'League Calculation'!C$3)*100, "")</f>
        <v>90.551181102362193</v>
      </c>
      <c r="Y7" s="31">
        <f t="shared" si="8"/>
        <v>4.6000000000000005</v>
      </c>
      <c r="Z7" s="31">
        <f t="shared" si="9"/>
        <v>8</v>
      </c>
      <c r="AA7" s="31">
        <f t="shared" si="10"/>
        <v>33.4</v>
      </c>
      <c r="AB7" s="32">
        <f t="shared" si="11"/>
        <v>6</v>
      </c>
      <c r="AC7" s="16">
        <f>IFERROR((AA7/'League Calculation'!J$3)*100, "")</f>
        <v>91.506849315068493</v>
      </c>
    </row>
    <row r="8" spans="1:29" s="29" customFormat="1">
      <c r="A8" s="41" t="s">
        <v>73</v>
      </c>
      <c r="B8">
        <v>11</v>
      </c>
      <c r="C8" s="41" t="s">
        <v>145</v>
      </c>
      <c r="D8"/>
      <c r="E8" s="30">
        <v>1.9</v>
      </c>
      <c r="F8" s="30">
        <v>2.7</v>
      </c>
      <c r="G8" s="31">
        <f t="shared" si="0"/>
        <v>10.8</v>
      </c>
      <c r="H8" s="32">
        <f t="shared" si="1"/>
        <v>11</v>
      </c>
      <c r="I8" s="16">
        <f>IFERROR((G8/'League Calculation'!B$3)*100, "")</f>
        <v>85.714285714285708</v>
      </c>
      <c r="J8" s="30">
        <v>1.8</v>
      </c>
      <c r="K8" s="30">
        <v>3</v>
      </c>
      <c r="L8" s="31">
        <f t="shared" si="2"/>
        <v>11.2</v>
      </c>
      <c r="M8" s="32">
        <f t="shared" si="3"/>
        <v>4</v>
      </c>
      <c r="N8" s="16">
        <f>IFERROR((L8/'League Calculation'!H$3)*100, "")</f>
        <v>84.210526315789465</v>
      </c>
      <c r="O8" s="30">
        <v>0</v>
      </c>
      <c r="P8" s="30">
        <v>0</v>
      </c>
      <c r="Q8" s="31">
        <f t="shared" si="4"/>
        <v>0</v>
      </c>
      <c r="R8" s="32">
        <f t="shared" si="5"/>
        <v>10</v>
      </c>
      <c r="S8" s="16">
        <f>IFERROR((Q8/'League Calculation'!I$3)*100, "")</f>
        <v>0</v>
      </c>
      <c r="T8" s="30">
        <v>1.1000000000000001</v>
      </c>
      <c r="U8" s="30">
        <v>2.4</v>
      </c>
      <c r="V8" s="31">
        <f t="shared" si="6"/>
        <v>11.3</v>
      </c>
      <c r="W8" s="32">
        <f t="shared" si="7"/>
        <v>7</v>
      </c>
      <c r="X8" s="16">
        <f>IFERROR((V8/'League Calculation'!C$3)*100, "")</f>
        <v>88.976377952755897</v>
      </c>
      <c r="Y8" s="31">
        <f t="shared" si="8"/>
        <v>4.8000000000000007</v>
      </c>
      <c r="Z8" s="31">
        <f t="shared" si="9"/>
        <v>8.1</v>
      </c>
      <c r="AA8" s="31">
        <f t="shared" si="10"/>
        <v>33.299999999999997</v>
      </c>
      <c r="AB8" s="32">
        <f t="shared" si="11"/>
        <v>7</v>
      </c>
      <c r="AC8" s="16">
        <f>IFERROR((AA8/'League Calculation'!J$3)*100, "")</f>
        <v>91.232876712328761</v>
      </c>
    </row>
    <row r="9" spans="1:29" s="29" customFormat="1">
      <c r="A9" s="41" t="s">
        <v>73</v>
      </c>
      <c r="B9">
        <v>14</v>
      </c>
      <c r="C9" s="41" t="s">
        <v>86</v>
      </c>
      <c r="D9"/>
      <c r="E9" s="30">
        <v>2.6</v>
      </c>
      <c r="F9" s="30">
        <v>4.5999999999999996</v>
      </c>
      <c r="G9" s="31">
        <f t="shared" si="0"/>
        <v>12</v>
      </c>
      <c r="H9" s="32">
        <f t="shared" si="1"/>
        <v>2</v>
      </c>
      <c r="I9" s="16">
        <f>IFERROR((G9/'League Calculation'!B$3)*100, "")</f>
        <v>95.238095238095227</v>
      </c>
      <c r="J9" s="30">
        <v>3.3</v>
      </c>
      <c r="K9" s="30">
        <v>4.2</v>
      </c>
      <c r="L9" s="31">
        <f t="shared" si="2"/>
        <v>10.9</v>
      </c>
      <c r="M9" s="32">
        <f t="shared" si="3"/>
        <v>5</v>
      </c>
      <c r="N9" s="16">
        <f>IFERROR((L9/'League Calculation'!H$3)*100, "")</f>
        <v>81.954887218045116</v>
      </c>
      <c r="O9" s="30">
        <v>0</v>
      </c>
      <c r="P9" s="30">
        <v>0</v>
      </c>
      <c r="Q9" s="31">
        <f t="shared" si="4"/>
        <v>0</v>
      </c>
      <c r="R9" s="32">
        <f t="shared" si="5"/>
        <v>10</v>
      </c>
      <c r="S9" s="16">
        <f>IFERROR((Q9/'League Calculation'!I$3)*100, "")</f>
        <v>0</v>
      </c>
      <c r="T9" s="30">
        <v>2.1</v>
      </c>
      <c r="U9" s="30">
        <v>2.4</v>
      </c>
      <c r="V9" s="31">
        <f t="shared" si="6"/>
        <v>10.3</v>
      </c>
      <c r="W9" s="32">
        <f t="shared" si="7"/>
        <v>15</v>
      </c>
      <c r="X9" s="16">
        <f>IFERROR((V9/'League Calculation'!C$3)*100, "")</f>
        <v>81.102362204724415</v>
      </c>
      <c r="Y9" s="31">
        <f t="shared" si="8"/>
        <v>8</v>
      </c>
      <c r="Z9" s="31">
        <f t="shared" si="9"/>
        <v>11.200000000000001</v>
      </c>
      <c r="AA9" s="31">
        <f t="shared" si="10"/>
        <v>33.200000000000003</v>
      </c>
      <c r="AB9" s="32">
        <f t="shared" si="11"/>
        <v>8</v>
      </c>
      <c r="AC9" s="16">
        <f>IFERROR((AA9/'League Calculation'!J$3)*100, "")</f>
        <v>90.958904109589042</v>
      </c>
    </row>
    <row r="10" spans="1:29" s="29" customFormat="1">
      <c r="A10" s="41" t="s">
        <v>74</v>
      </c>
      <c r="B10">
        <v>5</v>
      </c>
      <c r="C10" s="41" t="s">
        <v>90</v>
      </c>
      <c r="D10"/>
      <c r="E10" s="30">
        <v>2.5</v>
      </c>
      <c r="F10" s="30">
        <v>3.7</v>
      </c>
      <c r="G10" s="31">
        <f t="shared" si="0"/>
        <v>11.2</v>
      </c>
      <c r="H10" s="32">
        <f t="shared" si="1"/>
        <v>7</v>
      </c>
      <c r="I10" s="16">
        <f>IFERROR((G10/'League Calculation'!B$3)*100, "")</f>
        <v>88.888888888888872</v>
      </c>
      <c r="J10" s="30">
        <v>0</v>
      </c>
      <c r="K10" s="30">
        <v>0</v>
      </c>
      <c r="L10" s="31">
        <f t="shared" si="2"/>
        <v>0</v>
      </c>
      <c r="M10" s="32">
        <f t="shared" si="3"/>
        <v>12</v>
      </c>
      <c r="N10" s="16">
        <f>IFERROR((L10/'League Calculation'!H$3)*100, "")</f>
        <v>0</v>
      </c>
      <c r="O10" s="30">
        <v>3.4</v>
      </c>
      <c r="P10" s="30">
        <v>3.5</v>
      </c>
      <c r="Q10" s="31">
        <f t="shared" si="4"/>
        <v>10.1</v>
      </c>
      <c r="R10" s="32">
        <f t="shared" si="5"/>
        <v>5</v>
      </c>
      <c r="S10" s="16">
        <f>IFERROR((Q10/'League Calculation'!I$3)*100, "")</f>
        <v>83.471074380165291</v>
      </c>
      <c r="T10" s="30">
        <v>1.1000000000000001</v>
      </c>
      <c r="U10" s="30">
        <v>2.4</v>
      </c>
      <c r="V10" s="31">
        <f t="shared" si="6"/>
        <v>11.3</v>
      </c>
      <c r="W10" s="32">
        <f t="shared" si="7"/>
        <v>7</v>
      </c>
      <c r="X10" s="16">
        <f>IFERROR((V10/'League Calculation'!C$3)*100, "")</f>
        <v>88.976377952755897</v>
      </c>
      <c r="Y10" s="31">
        <f t="shared" si="8"/>
        <v>7</v>
      </c>
      <c r="Z10" s="31">
        <f t="shared" si="9"/>
        <v>9.6</v>
      </c>
      <c r="AA10" s="31">
        <f t="shared" si="10"/>
        <v>32.599999999999994</v>
      </c>
      <c r="AB10" s="32">
        <f t="shared" si="11"/>
        <v>9</v>
      </c>
      <c r="AC10" s="16">
        <f>IFERROR((AA10/'League Calculation'!J$3)*100, "")</f>
        <v>89.315068493150676</v>
      </c>
    </row>
    <row r="11" spans="1:29" s="29" customFormat="1">
      <c r="A11" s="41" t="s">
        <v>69</v>
      </c>
      <c r="B11">
        <v>4</v>
      </c>
      <c r="C11" s="41" t="s">
        <v>88</v>
      </c>
      <c r="D11"/>
      <c r="E11" s="30">
        <v>2.2999999999999998</v>
      </c>
      <c r="F11" s="30">
        <v>3.3</v>
      </c>
      <c r="G11" s="31">
        <f t="shared" si="0"/>
        <v>11</v>
      </c>
      <c r="H11" s="32">
        <f t="shared" si="1"/>
        <v>9</v>
      </c>
      <c r="I11" s="16">
        <f>IFERROR((G11/'League Calculation'!B$3)*100, "")</f>
        <v>87.30158730158729</v>
      </c>
      <c r="J11" s="30">
        <v>0</v>
      </c>
      <c r="K11" s="30">
        <v>0</v>
      </c>
      <c r="L11" s="31">
        <f t="shared" si="2"/>
        <v>0</v>
      </c>
      <c r="M11" s="32">
        <f t="shared" si="3"/>
        <v>12</v>
      </c>
      <c r="N11" s="16">
        <f>IFERROR((L11/'League Calculation'!H$3)*100, "")</f>
        <v>0</v>
      </c>
      <c r="O11" s="30">
        <v>1.2</v>
      </c>
      <c r="P11" s="30">
        <v>1.6</v>
      </c>
      <c r="Q11" s="31">
        <f t="shared" si="4"/>
        <v>10.4</v>
      </c>
      <c r="R11" s="32">
        <f t="shared" si="5"/>
        <v>3</v>
      </c>
      <c r="S11" s="16">
        <f>IFERROR((Q11/'League Calculation'!I$3)*100, "")</f>
        <v>85.950413223140501</v>
      </c>
      <c r="T11" s="30">
        <v>1.3</v>
      </c>
      <c r="U11" s="30">
        <v>2.4</v>
      </c>
      <c r="V11" s="31">
        <f t="shared" si="6"/>
        <v>11.1</v>
      </c>
      <c r="W11" s="32">
        <f t="shared" si="7"/>
        <v>11</v>
      </c>
      <c r="X11" s="16">
        <f>IFERROR((V11/'League Calculation'!C$3)*100, "")</f>
        <v>87.4015748031496</v>
      </c>
      <c r="Y11" s="31">
        <f t="shared" si="8"/>
        <v>4.8</v>
      </c>
      <c r="Z11" s="31">
        <f t="shared" si="9"/>
        <v>7.3000000000000007</v>
      </c>
      <c r="AA11" s="31">
        <f t="shared" si="10"/>
        <v>32.5</v>
      </c>
      <c r="AB11" s="32">
        <f t="shared" si="11"/>
        <v>10</v>
      </c>
      <c r="AC11" s="16">
        <f>IFERROR((AA11/'League Calculation'!J$3)*100, "")</f>
        <v>89.041095890410958</v>
      </c>
    </row>
    <row r="12" spans="1:29" s="29" customFormat="1">
      <c r="A12" s="41" t="s">
        <v>73</v>
      </c>
      <c r="B12">
        <v>15</v>
      </c>
      <c r="C12" s="41" t="s">
        <v>87</v>
      </c>
      <c r="D12"/>
      <c r="E12" s="30">
        <v>2.6</v>
      </c>
      <c r="F12" s="30">
        <v>3.5</v>
      </c>
      <c r="G12" s="31">
        <f t="shared" si="0"/>
        <v>10.9</v>
      </c>
      <c r="H12" s="32">
        <f t="shared" si="1"/>
        <v>10</v>
      </c>
      <c r="I12" s="16">
        <f>IFERROR((G12/'League Calculation'!B$3)*100, "")</f>
        <v>86.507936507936506</v>
      </c>
      <c r="J12" s="30">
        <v>3.1</v>
      </c>
      <c r="K12" s="30">
        <v>3</v>
      </c>
      <c r="L12" s="31">
        <f t="shared" si="2"/>
        <v>9.9</v>
      </c>
      <c r="M12" s="32">
        <f t="shared" si="3"/>
        <v>8</v>
      </c>
      <c r="N12" s="16">
        <f>IFERROR((L12/'League Calculation'!H$3)*100, "")</f>
        <v>74.436090225563916</v>
      </c>
      <c r="O12" s="30">
        <v>0</v>
      </c>
      <c r="P12" s="30">
        <v>0</v>
      </c>
      <c r="Q12" s="31">
        <f t="shared" si="4"/>
        <v>0</v>
      </c>
      <c r="R12" s="32">
        <f t="shared" si="5"/>
        <v>10</v>
      </c>
      <c r="S12" s="16">
        <f>IFERROR((Q12/'League Calculation'!I$3)*100, "")</f>
        <v>0</v>
      </c>
      <c r="T12" s="30">
        <v>1.2</v>
      </c>
      <c r="U12" s="30">
        <v>2.6</v>
      </c>
      <c r="V12" s="31">
        <f t="shared" si="6"/>
        <v>11.4</v>
      </c>
      <c r="W12" s="32">
        <f t="shared" si="7"/>
        <v>5</v>
      </c>
      <c r="X12" s="16">
        <f>IFERROR((V12/'League Calculation'!C$3)*100, "")</f>
        <v>89.763779527559052</v>
      </c>
      <c r="Y12" s="31">
        <f t="shared" si="8"/>
        <v>6.9</v>
      </c>
      <c r="Z12" s="31">
        <f t="shared" si="9"/>
        <v>9.1</v>
      </c>
      <c r="AA12" s="31">
        <f t="shared" si="10"/>
        <v>32.200000000000003</v>
      </c>
      <c r="AB12" s="32">
        <f t="shared" si="11"/>
        <v>11</v>
      </c>
      <c r="AC12" s="16">
        <f>IFERROR((AA12/'League Calculation'!J$3)*100, "")</f>
        <v>88.219178082191789</v>
      </c>
    </row>
    <row r="13" spans="1:29" s="29" customFormat="1">
      <c r="A13" s="41" t="s">
        <v>124</v>
      </c>
      <c r="B13">
        <v>17</v>
      </c>
      <c r="C13" s="41" t="s">
        <v>149</v>
      </c>
      <c r="D13"/>
      <c r="E13" s="30">
        <v>2.7</v>
      </c>
      <c r="F13" s="30">
        <v>3.1</v>
      </c>
      <c r="G13" s="31">
        <f t="shared" si="0"/>
        <v>10.4</v>
      </c>
      <c r="H13" s="32">
        <f t="shared" si="1"/>
        <v>14</v>
      </c>
      <c r="I13" s="16">
        <f>IFERROR((G13/'League Calculation'!B$3)*100, "")</f>
        <v>82.539682539682531</v>
      </c>
      <c r="J13" s="30">
        <v>3.7</v>
      </c>
      <c r="K13" s="30">
        <v>3.3</v>
      </c>
      <c r="L13" s="31">
        <f t="shared" si="2"/>
        <v>9.6</v>
      </c>
      <c r="M13" s="32">
        <f t="shared" si="3"/>
        <v>9</v>
      </c>
      <c r="N13" s="16">
        <f>IFERROR((L13/'League Calculation'!H$3)*100, "")</f>
        <v>72.180451127819538</v>
      </c>
      <c r="O13" s="30">
        <v>0</v>
      </c>
      <c r="P13" s="30">
        <v>0</v>
      </c>
      <c r="Q13" s="31">
        <f t="shared" si="4"/>
        <v>0</v>
      </c>
      <c r="R13" s="32">
        <f t="shared" si="5"/>
        <v>10</v>
      </c>
      <c r="S13" s="16">
        <f>IFERROR((Q13/'League Calculation'!I$3)*100, "")</f>
        <v>0</v>
      </c>
      <c r="T13" s="30">
        <v>0.9</v>
      </c>
      <c r="U13" s="30">
        <v>2.4</v>
      </c>
      <c r="V13" s="31">
        <f t="shared" si="6"/>
        <v>11.5</v>
      </c>
      <c r="W13" s="32">
        <f t="shared" si="7"/>
        <v>3</v>
      </c>
      <c r="X13" s="16">
        <f>IFERROR((V13/'League Calculation'!C$3)*100, "")</f>
        <v>90.551181102362193</v>
      </c>
      <c r="Y13" s="31">
        <f t="shared" si="8"/>
        <v>7.3000000000000007</v>
      </c>
      <c r="Z13" s="31">
        <f t="shared" si="9"/>
        <v>8.8000000000000007</v>
      </c>
      <c r="AA13" s="31">
        <f t="shared" si="10"/>
        <v>31.5</v>
      </c>
      <c r="AB13" s="32">
        <f t="shared" si="11"/>
        <v>12</v>
      </c>
      <c r="AC13" s="16">
        <f>IFERROR((AA13/'League Calculation'!J$3)*100, "")</f>
        <v>86.301369863013704</v>
      </c>
    </row>
    <row r="14" spans="1:29" s="29" customFormat="1">
      <c r="A14" s="41" t="s">
        <v>74</v>
      </c>
      <c r="B14">
        <v>6</v>
      </c>
      <c r="C14" s="41" t="s">
        <v>91</v>
      </c>
      <c r="D14"/>
      <c r="E14" s="30">
        <v>2.6</v>
      </c>
      <c r="F14" s="30">
        <v>3.3</v>
      </c>
      <c r="G14" s="31">
        <f t="shared" si="0"/>
        <v>10.7</v>
      </c>
      <c r="H14" s="32">
        <f t="shared" si="1"/>
        <v>12</v>
      </c>
      <c r="I14" s="16">
        <f>IFERROR((G14/'League Calculation'!B$3)*100, "")</f>
        <v>84.92063492063491</v>
      </c>
      <c r="J14" s="30">
        <v>0</v>
      </c>
      <c r="K14" s="30">
        <v>0</v>
      </c>
      <c r="L14" s="31">
        <f t="shared" si="2"/>
        <v>0</v>
      </c>
      <c r="M14" s="32">
        <f t="shared" si="3"/>
        <v>12</v>
      </c>
      <c r="N14" s="16">
        <f>IFERROR((L14/'League Calculation'!H$3)*100, "")</f>
        <v>0</v>
      </c>
      <c r="O14" s="30">
        <v>2.1</v>
      </c>
      <c r="P14" s="30">
        <v>1.6</v>
      </c>
      <c r="Q14" s="31">
        <f t="shared" si="4"/>
        <v>9.5</v>
      </c>
      <c r="R14" s="32">
        <f t="shared" si="5"/>
        <v>7</v>
      </c>
      <c r="S14" s="16">
        <f>IFERROR((Q14/'League Calculation'!I$3)*100, "")</f>
        <v>78.512396694214885</v>
      </c>
      <c r="T14" s="30">
        <v>1.3</v>
      </c>
      <c r="U14" s="30">
        <v>2.4</v>
      </c>
      <c r="V14" s="31">
        <f t="shared" si="6"/>
        <v>11.1</v>
      </c>
      <c r="W14" s="32">
        <f t="shared" si="7"/>
        <v>11</v>
      </c>
      <c r="X14" s="16">
        <f>IFERROR((V14/'League Calculation'!C$3)*100, "")</f>
        <v>87.4015748031496</v>
      </c>
      <c r="Y14" s="31">
        <f t="shared" si="8"/>
        <v>6</v>
      </c>
      <c r="Z14" s="31">
        <f t="shared" si="9"/>
        <v>7.3000000000000007</v>
      </c>
      <c r="AA14" s="31">
        <f t="shared" si="10"/>
        <v>31.299999999999997</v>
      </c>
      <c r="AB14" s="32">
        <f t="shared" si="11"/>
        <v>13</v>
      </c>
      <c r="AC14" s="16">
        <f>IFERROR((AA14/'League Calculation'!J$3)*100, "")</f>
        <v>85.753424657534239</v>
      </c>
    </row>
    <row r="15" spans="1:29" s="29" customFormat="1">
      <c r="A15" s="41" t="s">
        <v>69</v>
      </c>
      <c r="B15">
        <v>3</v>
      </c>
      <c r="C15" s="41" t="s">
        <v>89</v>
      </c>
      <c r="D15"/>
      <c r="E15" s="30">
        <v>3</v>
      </c>
      <c r="F15" s="30">
        <v>3.1</v>
      </c>
      <c r="G15" s="31">
        <f t="shared" si="0"/>
        <v>10.1</v>
      </c>
      <c r="H15" s="32">
        <f t="shared" si="1"/>
        <v>15</v>
      </c>
      <c r="I15" s="16">
        <f>IFERROR((G15/'League Calculation'!B$3)*100, "")</f>
        <v>80.158730158730151</v>
      </c>
      <c r="J15" s="30">
        <v>1.7</v>
      </c>
      <c r="K15" s="30">
        <v>2.2999999999999998</v>
      </c>
      <c r="L15" s="31">
        <f t="shared" si="2"/>
        <v>10.600000000000001</v>
      </c>
      <c r="M15" s="32">
        <f t="shared" si="3"/>
        <v>7</v>
      </c>
      <c r="N15" s="16">
        <f>IFERROR((L15/'League Calculation'!H$3)*100, "")</f>
        <v>79.699248120300751</v>
      </c>
      <c r="O15" s="30">
        <v>1.5</v>
      </c>
      <c r="P15" s="30">
        <v>1.6</v>
      </c>
      <c r="Q15" s="31">
        <f t="shared" si="4"/>
        <v>10.1</v>
      </c>
      <c r="R15" s="32">
        <f t="shared" si="5"/>
        <v>5</v>
      </c>
      <c r="S15" s="16">
        <f>IFERROR((Q15/'League Calculation'!I$3)*100, "")</f>
        <v>83.471074380165291</v>
      </c>
      <c r="T15" s="30">
        <v>0</v>
      </c>
      <c r="U15" s="30">
        <v>0</v>
      </c>
      <c r="V15" s="31">
        <f t="shared" si="6"/>
        <v>0</v>
      </c>
      <c r="W15" s="32">
        <f t="shared" si="7"/>
        <v>17</v>
      </c>
      <c r="X15" s="16">
        <f>IFERROR((V15/'League Calculation'!C$3)*100, "")</f>
        <v>0</v>
      </c>
      <c r="Y15" s="31">
        <f t="shared" si="8"/>
        <v>6.2</v>
      </c>
      <c r="Z15" s="31">
        <f t="shared" si="9"/>
        <v>7</v>
      </c>
      <c r="AA15" s="31">
        <f t="shared" si="10"/>
        <v>30.800000000000004</v>
      </c>
      <c r="AB15" s="32">
        <f t="shared" si="11"/>
        <v>14</v>
      </c>
      <c r="AC15" s="16">
        <f>IFERROR((AA15/'League Calculation'!J$3)*100, "")</f>
        <v>84.38356164383562</v>
      </c>
    </row>
    <row r="16" spans="1:29" s="29" customFormat="1">
      <c r="A16" s="41" t="s">
        <v>73</v>
      </c>
      <c r="B16">
        <v>1</v>
      </c>
      <c r="C16" s="41" t="s">
        <v>94</v>
      </c>
      <c r="D16"/>
      <c r="E16" s="30">
        <v>3</v>
      </c>
      <c r="F16" s="30">
        <v>3.1</v>
      </c>
      <c r="G16" s="31">
        <f t="shared" si="0"/>
        <v>10.1</v>
      </c>
      <c r="H16" s="32">
        <f t="shared" si="1"/>
        <v>15</v>
      </c>
      <c r="I16" s="16">
        <f>IFERROR((G16/'League Calculation'!B$3)*100, "")</f>
        <v>80.158730158730151</v>
      </c>
      <c r="J16" s="30">
        <v>0</v>
      </c>
      <c r="K16" s="30">
        <v>0</v>
      </c>
      <c r="L16" s="31">
        <f t="shared" si="2"/>
        <v>0</v>
      </c>
      <c r="M16" s="32">
        <f t="shared" si="3"/>
        <v>12</v>
      </c>
      <c r="N16" s="16">
        <f>IFERROR((L16/'League Calculation'!H$3)*100, "")</f>
        <v>0</v>
      </c>
      <c r="O16" s="30">
        <v>2.5</v>
      </c>
      <c r="P16" s="30">
        <v>1.6</v>
      </c>
      <c r="Q16" s="31">
        <f t="shared" si="4"/>
        <v>9.1</v>
      </c>
      <c r="R16" s="32">
        <f t="shared" si="5"/>
        <v>8</v>
      </c>
      <c r="S16" s="16">
        <f>IFERROR((Q16/'League Calculation'!I$3)*100, "")</f>
        <v>75.206611570247929</v>
      </c>
      <c r="T16" s="30">
        <v>1.6</v>
      </c>
      <c r="U16" s="30">
        <v>2.4</v>
      </c>
      <c r="V16" s="31">
        <f t="shared" si="6"/>
        <v>10.8</v>
      </c>
      <c r="W16" s="32">
        <f t="shared" si="7"/>
        <v>13</v>
      </c>
      <c r="X16" s="16">
        <f>IFERROR((V16/'League Calculation'!C$3)*100, "")</f>
        <v>85.039370078740149</v>
      </c>
      <c r="Y16" s="31">
        <f t="shared" si="8"/>
        <v>7.1</v>
      </c>
      <c r="Z16" s="31">
        <f t="shared" si="9"/>
        <v>7.1</v>
      </c>
      <c r="AA16" s="31">
        <f t="shared" si="10"/>
        <v>30</v>
      </c>
      <c r="AB16" s="32">
        <f t="shared" si="11"/>
        <v>15</v>
      </c>
      <c r="AC16" s="16">
        <f>IFERROR((AA16/'League Calculation'!J$3)*100, "")</f>
        <v>82.191780821917803</v>
      </c>
    </row>
    <row r="17" spans="1:29" s="29" customFormat="1">
      <c r="A17" s="41" t="s">
        <v>73</v>
      </c>
      <c r="B17">
        <v>16</v>
      </c>
      <c r="C17" s="41" t="s">
        <v>148</v>
      </c>
      <c r="D17"/>
      <c r="E17" s="30">
        <v>4</v>
      </c>
      <c r="F17" s="30">
        <v>4.5999999999999996</v>
      </c>
      <c r="G17" s="31">
        <f t="shared" si="0"/>
        <v>10.6</v>
      </c>
      <c r="H17" s="32">
        <f t="shared" si="1"/>
        <v>13</v>
      </c>
      <c r="I17" s="16">
        <f>IFERROR((G17/'League Calculation'!B$3)*100, "")</f>
        <v>84.126984126984112</v>
      </c>
      <c r="J17" s="30">
        <v>5.5</v>
      </c>
      <c r="K17" s="30">
        <v>2.9</v>
      </c>
      <c r="L17" s="31">
        <f t="shared" si="2"/>
        <v>7.4</v>
      </c>
      <c r="M17" s="32">
        <f t="shared" si="3"/>
        <v>11</v>
      </c>
      <c r="N17" s="16">
        <f>IFERROR((L17/'League Calculation'!H$3)*100, "")</f>
        <v>55.639097744360896</v>
      </c>
      <c r="O17" s="30">
        <v>0</v>
      </c>
      <c r="P17" s="30">
        <v>0</v>
      </c>
      <c r="Q17" s="31">
        <f t="shared" si="4"/>
        <v>0</v>
      </c>
      <c r="R17" s="32">
        <f t="shared" si="5"/>
        <v>10</v>
      </c>
      <c r="S17" s="16">
        <f>IFERROR((Q17/'League Calculation'!I$3)*100, "")</f>
        <v>0</v>
      </c>
      <c r="T17" s="30">
        <v>1.2</v>
      </c>
      <c r="U17" s="30">
        <v>2.4</v>
      </c>
      <c r="V17" s="31">
        <f t="shared" si="6"/>
        <v>11.200000000000001</v>
      </c>
      <c r="W17" s="32">
        <f t="shared" si="7"/>
        <v>10</v>
      </c>
      <c r="X17" s="16">
        <f>IFERROR((V17/'League Calculation'!C$3)*100, "")</f>
        <v>88.188976377952756</v>
      </c>
      <c r="Y17" s="31">
        <f t="shared" si="8"/>
        <v>10.7</v>
      </c>
      <c r="Z17" s="31">
        <f t="shared" si="9"/>
        <v>9.9</v>
      </c>
      <c r="AA17" s="31">
        <f t="shared" si="10"/>
        <v>29.200000000000003</v>
      </c>
      <c r="AB17" s="32">
        <f t="shared" si="11"/>
        <v>16</v>
      </c>
      <c r="AC17" s="16">
        <f>IFERROR((AA17/'League Calculation'!J$3)*100, "")</f>
        <v>80</v>
      </c>
    </row>
    <row r="18" spans="1:29" s="29" customFormat="1">
      <c r="A18" s="41" t="s">
        <v>125</v>
      </c>
      <c r="B18">
        <v>9</v>
      </c>
      <c r="C18" s="41" t="s">
        <v>144</v>
      </c>
      <c r="D18"/>
      <c r="E18" s="30">
        <v>3.8</v>
      </c>
      <c r="F18" s="30">
        <v>2.9</v>
      </c>
      <c r="G18" s="31">
        <f t="shared" si="0"/>
        <v>9.1</v>
      </c>
      <c r="H18" s="32">
        <f t="shared" si="1"/>
        <v>17</v>
      </c>
      <c r="I18" s="16">
        <f>IFERROR((G18/'League Calculation'!B$3)*100, "")</f>
        <v>72.222222222222214</v>
      </c>
      <c r="J18" s="30">
        <v>0</v>
      </c>
      <c r="K18" s="30">
        <v>0</v>
      </c>
      <c r="L18" s="31">
        <f t="shared" si="2"/>
        <v>0</v>
      </c>
      <c r="M18" s="32">
        <f t="shared" si="3"/>
        <v>12</v>
      </c>
      <c r="N18" s="16">
        <f>IFERROR((L18/'League Calculation'!H$3)*100, "")</f>
        <v>0</v>
      </c>
      <c r="O18" s="30">
        <v>4.4000000000000004</v>
      </c>
      <c r="P18" s="30">
        <v>1.6</v>
      </c>
      <c r="Q18" s="31">
        <f t="shared" si="4"/>
        <v>7.1999999999999993</v>
      </c>
      <c r="R18" s="32">
        <f t="shared" si="5"/>
        <v>9</v>
      </c>
      <c r="S18" s="16">
        <f>IFERROR((Q18/'League Calculation'!I$3)*100, "")</f>
        <v>59.504132231404952</v>
      </c>
      <c r="T18" s="30">
        <v>1.7</v>
      </c>
      <c r="U18" s="30">
        <v>1.6</v>
      </c>
      <c r="V18" s="31">
        <f t="shared" si="6"/>
        <v>9.9</v>
      </c>
      <c r="W18" s="32">
        <f t="shared" si="7"/>
        <v>16</v>
      </c>
      <c r="X18" s="16">
        <f>IFERROR((V18/'League Calculation'!C$3)*100, "")</f>
        <v>77.952755905511808</v>
      </c>
      <c r="Y18" s="31">
        <f t="shared" si="8"/>
        <v>9.8999999999999986</v>
      </c>
      <c r="Z18" s="31">
        <f t="shared" si="9"/>
        <v>6.1</v>
      </c>
      <c r="AA18" s="31">
        <f t="shared" si="10"/>
        <v>26.199999999999996</v>
      </c>
      <c r="AB18" s="32">
        <f t="shared" si="11"/>
        <v>17</v>
      </c>
      <c r="AC18" s="16">
        <f>IFERROR((AA18/'League Calculation'!J$3)*100, "")</f>
        <v>71.780821917808211</v>
      </c>
    </row>
    <row r="19" spans="1:29" s="29" customFormat="1">
      <c r="A19" s="41" t="s">
        <v>74</v>
      </c>
      <c r="B19">
        <v>19</v>
      </c>
      <c r="C19" s="41" t="s">
        <v>84</v>
      </c>
      <c r="D19"/>
      <c r="E19" s="30">
        <v>1.3</v>
      </c>
      <c r="F19" s="30">
        <v>2.6</v>
      </c>
      <c r="G19" s="31">
        <f t="shared" si="0"/>
        <v>11.299999999999999</v>
      </c>
      <c r="H19" s="32">
        <f t="shared" si="1"/>
        <v>6</v>
      </c>
      <c r="I19" s="16">
        <f>IFERROR((G19/'League Calculation'!B$3)*100, "")</f>
        <v>89.682539682539669</v>
      </c>
      <c r="J19" s="7">
        <v>4</v>
      </c>
      <c r="K19" s="7">
        <v>1.6</v>
      </c>
      <c r="L19" s="31">
        <f t="shared" si="2"/>
        <v>7.6</v>
      </c>
      <c r="M19" s="32">
        <f t="shared" si="3"/>
        <v>10</v>
      </c>
      <c r="N19" s="16">
        <f>IFERROR((L19/'League Calculation'!H$3)*100, "")</f>
        <v>57.142857142857139</v>
      </c>
      <c r="O19" s="7">
        <v>0</v>
      </c>
      <c r="P19" s="7">
        <v>0</v>
      </c>
      <c r="Q19" s="31">
        <f t="shared" si="4"/>
        <v>0</v>
      </c>
      <c r="R19" s="32">
        <f t="shared" si="5"/>
        <v>10</v>
      </c>
      <c r="S19" s="16">
        <f>IFERROR((Q19/'League Calculation'!I$3)*100, "")</f>
        <v>0</v>
      </c>
      <c r="T19" s="7">
        <v>0</v>
      </c>
      <c r="U19" s="7">
        <v>0</v>
      </c>
      <c r="V19" s="31">
        <f t="shared" si="6"/>
        <v>0</v>
      </c>
      <c r="W19" s="32">
        <f t="shared" si="7"/>
        <v>17</v>
      </c>
      <c r="X19" s="16">
        <f>IFERROR((V19/'League Calculation'!C$3)*100, "")</f>
        <v>0</v>
      </c>
      <c r="Y19" s="31">
        <f t="shared" si="8"/>
        <v>5.3</v>
      </c>
      <c r="Z19" s="31">
        <f t="shared" si="9"/>
        <v>4.2</v>
      </c>
      <c r="AA19" s="31">
        <f t="shared" si="10"/>
        <v>18.899999999999999</v>
      </c>
      <c r="AB19" s="32">
        <f t="shared" si="11"/>
        <v>18</v>
      </c>
      <c r="AC19" s="16">
        <f>IFERROR((AA19/'League Calculation'!J$3)*100, "")</f>
        <v>51.780821917808218</v>
      </c>
    </row>
    <row r="20" spans="1:29" s="29" customFormat="1">
      <c r="A20" s="41" t="s">
        <v>74</v>
      </c>
      <c r="B20">
        <v>7</v>
      </c>
      <c r="C20" s="41" t="s">
        <v>142</v>
      </c>
      <c r="D20"/>
      <c r="E20" s="30">
        <v>0</v>
      </c>
      <c r="F20" s="30">
        <v>0</v>
      </c>
      <c r="G20" s="31">
        <f t="shared" si="0"/>
        <v>0</v>
      </c>
      <c r="H20" s="32">
        <f t="shared" si="1"/>
        <v>18</v>
      </c>
      <c r="I20" s="16">
        <f>IFERROR((G20/'League Calculation'!B$3)*100, "")</f>
        <v>0</v>
      </c>
      <c r="J20" s="30">
        <v>0</v>
      </c>
      <c r="K20" s="30">
        <v>0</v>
      </c>
      <c r="L20" s="31">
        <f t="shared" si="2"/>
        <v>0</v>
      </c>
      <c r="M20" s="32">
        <f t="shared" si="3"/>
        <v>12</v>
      </c>
      <c r="N20" s="16">
        <f>IFERROR((L20/'League Calculation'!H$3)*100, "")</f>
        <v>0</v>
      </c>
      <c r="O20" s="30">
        <v>0</v>
      </c>
      <c r="P20" s="30">
        <v>0</v>
      </c>
      <c r="Q20" s="31">
        <f t="shared" si="4"/>
        <v>0</v>
      </c>
      <c r="R20" s="32">
        <f t="shared" si="5"/>
        <v>10</v>
      </c>
      <c r="S20" s="16">
        <f>IFERROR((Q20/'League Calculation'!I$3)*100, "")</f>
        <v>0</v>
      </c>
      <c r="T20" s="30">
        <v>0</v>
      </c>
      <c r="U20" s="30">
        <v>0</v>
      </c>
      <c r="V20" s="31">
        <f t="shared" si="6"/>
        <v>0</v>
      </c>
      <c r="W20" s="32">
        <f t="shared" si="7"/>
        <v>17</v>
      </c>
      <c r="X20" s="16">
        <f>IFERROR((V20/'League Calculation'!C$3)*100, "")</f>
        <v>0</v>
      </c>
      <c r="Y20" s="31">
        <f t="shared" si="8"/>
        <v>0</v>
      </c>
      <c r="Z20" s="31">
        <f t="shared" si="9"/>
        <v>0</v>
      </c>
      <c r="AA20" s="31">
        <f t="shared" si="10"/>
        <v>0</v>
      </c>
      <c r="AB20" s="32">
        <f t="shared" si="11"/>
        <v>19</v>
      </c>
      <c r="AC20" s="16">
        <f>IFERROR((AA20/'League Calculation'!J$3)*100, "")</f>
        <v>0</v>
      </c>
    </row>
    <row r="21" spans="1:29" s="29" customFormat="1">
      <c r="A21" s="41" t="s">
        <v>181</v>
      </c>
      <c r="B21">
        <v>10</v>
      </c>
      <c r="C21" s="41" t="s">
        <v>180</v>
      </c>
      <c r="D21"/>
      <c r="E21" s="30">
        <v>0</v>
      </c>
      <c r="F21" s="30">
        <v>0</v>
      </c>
      <c r="G21" s="31">
        <f t="shared" si="0"/>
        <v>0</v>
      </c>
      <c r="H21" s="32">
        <f t="shared" si="1"/>
        <v>18</v>
      </c>
      <c r="I21" s="16">
        <f>IFERROR((G21/'League Calculation'!B$3)*100, "")</f>
        <v>0</v>
      </c>
      <c r="J21" s="30">
        <v>0</v>
      </c>
      <c r="K21" s="30">
        <v>0</v>
      </c>
      <c r="L21" s="31">
        <f t="shared" si="2"/>
        <v>0</v>
      </c>
      <c r="M21" s="32">
        <f t="shared" si="3"/>
        <v>12</v>
      </c>
      <c r="N21" s="16">
        <f>IFERROR((L21/'League Calculation'!H$3)*100, "")</f>
        <v>0</v>
      </c>
      <c r="O21" s="30">
        <v>0</v>
      </c>
      <c r="P21" s="30">
        <v>0</v>
      </c>
      <c r="Q21" s="31">
        <f t="shared" si="4"/>
        <v>0</v>
      </c>
      <c r="R21" s="32">
        <f t="shared" si="5"/>
        <v>10</v>
      </c>
      <c r="S21" s="16">
        <f>IFERROR((Q21/'League Calculation'!I$3)*100, "")</f>
        <v>0</v>
      </c>
      <c r="T21" s="30">
        <v>0</v>
      </c>
      <c r="U21" s="30">
        <v>0</v>
      </c>
      <c r="V21" s="31">
        <f t="shared" si="6"/>
        <v>0</v>
      </c>
      <c r="W21" s="32">
        <f t="shared" si="7"/>
        <v>17</v>
      </c>
      <c r="X21" s="16">
        <f>IFERROR((V21/'League Calculation'!C$3)*100, "")</f>
        <v>0</v>
      </c>
      <c r="Y21" s="31">
        <f t="shared" si="8"/>
        <v>0</v>
      </c>
      <c r="Z21" s="31">
        <f t="shared" si="9"/>
        <v>0</v>
      </c>
      <c r="AA21" s="31">
        <f t="shared" si="10"/>
        <v>0</v>
      </c>
      <c r="AB21" s="32">
        <f t="shared" si="11"/>
        <v>19</v>
      </c>
      <c r="AC21" s="16">
        <f>IFERROR((AA21/'League Calculation'!J$3)*100, "")</f>
        <v>0</v>
      </c>
    </row>
    <row r="1048572" spans="8:9">
      <c r="H1048572" s="11">
        <f>SUM(H2)</f>
        <v>18</v>
      </c>
      <c r="I1048572" s="17">
        <f>SUM(I2:I1048571)</f>
        <v>1484.1269841269839</v>
      </c>
    </row>
  </sheetData>
  <sheetProtection selectLockedCells="1"/>
  <autoFilter ref="A1:A1048572" xr:uid="{55FEE9BC-DEA0-9A4B-98C9-4380F0F0B126}"/>
  <sortState xmlns:xlrd2="http://schemas.microsoft.com/office/spreadsheetml/2017/richdata2" ref="A2:AC1048572">
    <sortCondition ref="AB2:AB1048572"/>
  </sortState>
  <conditionalFormatting sqref="M1:M1048576 H1:H1048576 R1:R1048576 AB1:AB1048576 W1:W1048576">
    <cfRule type="cellIs" dxfId="11" priority="13" operator="equal">
      <formula>3</formula>
    </cfRule>
    <cfRule type="cellIs" dxfId="10" priority="14" operator="equal">
      <formula>2</formula>
    </cfRule>
    <cfRule type="cellIs" dxfId="9" priority="15" operator="equal">
      <formula>1</formula>
    </cfRule>
  </conditionalFormatting>
  <dataValidations count="1">
    <dataValidation type="list" allowBlank="1" showInputMessage="1" showErrorMessage="1" sqref="D2:D21 D22:D1048576" xr:uid="{E750E870-D56B-0F41-AC91-400FB394F5BE}">
      <formula1>"Yes"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0C64-A29A-B946-94AE-A18DE9482D00}">
  <dimension ref="A1:AC1048562"/>
  <sheetViews>
    <sheetView zoomScale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4" sqref="J4"/>
    </sheetView>
  </sheetViews>
  <sheetFormatPr defaultColWidth="10.83203125" defaultRowHeight="15.5"/>
  <cols>
    <col min="1" max="1" width="33" style="5" bestFit="1" customWidth="1"/>
    <col min="2" max="2" width="8" style="5" customWidth="1"/>
    <col min="3" max="3" width="25" style="5" bestFit="1" customWidth="1"/>
    <col min="4" max="4" width="4.83203125" style="5" bestFit="1" customWidth="1"/>
    <col min="5" max="5" width="11.5" style="5" customWidth="1"/>
    <col min="6" max="6" width="12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6" width="10.83203125" style="7"/>
    <col min="17" max="17" width="10.83203125" style="10"/>
    <col min="18" max="18" width="10.83203125" style="11"/>
    <col min="19" max="19" width="10.83203125" style="17"/>
    <col min="20" max="21" width="10.83203125" style="7"/>
    <col min="22" max="22" width="10.83203125" style="10"/>
    <col min="23" max="23" width="10.83203125" style="11"/>
    <col min="24" max="24" width="10.83203125" style="17"/>
    <col min="25" max="27" width="10.83203125" style="10"/>
    <col min="28" max="28" width="10.83203125" style="11"/>
    <col min="29" max="29" width="10.83203125" style="17"/>
    <col min="30" max="16384" width="10.83203125" style="5"/>
  </cols>
  <sheetData>
    <row r="1" spans="1:29" s="4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67</v>
      </c>
      <c r="K1" s="6" t="s">
        <v>44</v>
      </c>
      <c r="L1" s="12" t="s">
        <v>45</v>
      </c>
      <c r="M1" s="13" t="s">
        <v>96</v>
      </c>
      <c r="N1" s="15" t="s">
        <v>23</v>
      </c>
      <c r="O1" s="6" t="s">
        <v>68</v>
      </c>
      <c r="P1" s="6" t="s">
        <v>46</v>
      </c>
      <c r="Q1" s="12" t="s">
        <v>47</v>
      </c>
      <c r="R1" s="13" t="s">
        <v>96</v>
      </c>
      <c r="S1" s="15" t="s">
        <v>24</v>
      </c>
      <c r="T1" s="6" t="s">
        <v>64</v>
      </c>
      <c r="U1" s="6" t="s">
        <v>35</v>
      </c>
      <c r="V1" s="12" t="s">
        <v>36</v>
      </c>
      <c r="W1" s="13" t="s">
        <v>96</v>
      </c>
      <c r="X1" s="15" t="s">
        <v>9</v>
      </c>
      <c r="Y1" s="12" t="s">
        <v>63</v>
      </c>
      <c r="Z1" s="12" t="s">
        <v>41</v>
      </c>
      <c r="AA1" s="12" t="s">
        <v>43</v>
      </c>
      <c r="AB1" s="13" t="s">
        <v>96</v>
      </c>
      <c r="AC1" s="15" t="s">
        <v>42</v>
      </c>
    </row>
    <row r="2" spans="1:29" s="36" customFormat="1">
      <c r="A2" s="41" t="s">
        <v>71</v>
      </c>
      <c r="B2">
        <v>1</v>
      </c>
      <c r="C2" s="41" t="s">
        <v>151</v>
      </c>
      <c r="D2"/>
      <c r="E2" s="30">
        <v>1.2</v>
      </c>
      <c r="F2" s="30">
        <v>3.3</v>
      </c>
      <c r="G2" s="31">
        <f t="shared" ref="G2:G20" si="0">(IF(E2=0, "0.00",10-E2))+F2</f>
        <v>12.100000000000001</v>
      </c>
      <c r="H2" s="32">
        <f t="shared" ref="H2:H20" si="1">RANK(G2, $G$2:$G$86, 0)</f>
        <v>6</v>
      </c>
      <c r="I2" s="16">
        <f>IFERROR((G2/'League Calculation'!B$7)*100, "")</f>
        <v>93.798449612403118</v>
      </c>
      <c r="J2" s="30">
        <v>1.9</v>
      </c>
      <c r="K2" s="30">
        <v>2.7</v>
      </c>
      <c r="L2" s="31">
        <f t="shared" ref="L2:L20" si="2">(IF(J2=0, "0.00",10-J2))+K2</f>
        <v>10.8</v>
      </c>
      <c r="M2" s="32">
        <f t="shared" ref="M2:M20" si="3">RANK(L2,$L$2:$L$986)</f>
        <v>2</v>
      </c>
      <c r="N2" s="16">
        <f>IFERROR((L2/'League Calculation'!H$7)*100, "")</f>
        <v>96.428571428571431</v>
      </c>
      <c r="O2" s="30">
        <v>0</v>
      </c>
      <c r="P2" s="30">
        <v>0</v>
      </c>
      <c r="Q2" s="31">
        <f t="shared" ref="Q2:Q20" si="4">(IF(O2=0, "0.00",10-O2))+P2</f>
        <v>0</v>
      </c>
      <c r="R2" s="32">
        <f t="shared" ref="R2:R20" si="5">RANK(Q2,$Q$2:$Q$986, 0)</f>
        <v>8</v>
      </c>
      <c r="S2" s="16">
        <f>IFERROR((Q2/'League Calculation'!I$7)*100, "")</f>
        <v>0</v>
      </c>
      <c r="T2" s="30">
        <v>0.5</v>
      </c>
      <c r="U2" s="30">
        <v>0</v>
      </c>
      <c r="V2" s="31">
        <f t="shared" ref="V2:V20" si="6">(IF(T2=0, "0.00",10-T2))+U2</f>
        <v>9.5</v>
      </c>
      <c r="W2" s="32">
        <f t="shared" ref="W2:W20" si="7">RANK(V2,$V$2:$V$986, 0)</f>
        <v>3</v>
      </c>
      <c r="X2" s="16">
        <f>IFERROR((V2/'League Calculation'!C$7)*100, "")</f>
        <v>91.787439613526573</v>
      </c>
      <c r="Y2" s="31">
        <f t="shared" ref="Y2:Y20" si="8">E2+J2+O2+T2</f>
        <v>3.5999999999999996</v>
      </c>
      <c r="Z2" s="31">
        <f t="shared" ref="Z2:Z20" si="9">F2+K2+P2+U2</f>
        <v>6</v>
      </c>
      <c r="AA2" s="31">
        <f t="shared" ref="AA2:AA20" si="10">G2+L2+Q2+V2</f>
        <v>32.400000000000006</v>
      </c>
      <c r="AB2" s="32">
        <f t="shared" ref="AB2:AB20" si="11">RANK(AA2,$AA$2:$AA$59986, 0)</f>
        <v>1</v>
      </c>
      <c r="AC2" s="16">
        <f>IFERROR((AA2/'League Calculation'!J$7)*100, "")</f>
        <v>100</v>
      </c>
    </row>
    <row r="3" spans="1:29" s="36" customFormat="1">
      <c r="A3" s="41" t="s">
        <v>124</v>
      </c>
      <c r="B3">
        <v>9</v>
      </c>
      <c r="C3" s="41" t="s">
        <v>157</v>
      </c>
      <c r="D3"/>
      <c r="E3" s="30">
        <v>1</v>
      </c>
      <c r="F3" s="30">
        <v>3.4</v>
      </c>
      <c r="G3" s="31">
        <f t="shared" si="0"/>
        <v>12.4</v>
      </c>
      <c r="H3" s="32">
        <f t="shared" si="1"/>
        <v>3</v>
      </c>
      <c r="I3" s="16">
        <f>IFERROR((G3/'League Calculation'!B$7)*100, "")</f>
        <v>96.124031007751938</v>
      </c>
      <c r="J3" s="30">
        <v>1.2</v>
      </c>
      <c r="K3" s="30">
        <v>1.9</v>
      </c>
      <c r="L3" s="31">
        <f t="shared" si="2"/>
        <v>10.700000000000001</v>
      </c>
      <c r="M3" s="32">
        <f t="shared" si="3"/>
        <v>4</v>
      </c>
      <c r="N3" s="16">
        <f>IFERROR((L3/'League Calculation'!H$7)*100, "")</f>
        <v>95.535714285714292</v>
      </c>
      <c r="O3" s="30">
        <v>0</v>
      </c>
      <c r="P3" s="30">
        <v>0</v>
      </c>
      <c r="Q3" s="31">
        <f t="shared" si="4"/>
        <v>0</v>
      </c>
      <c r="R3" s="32">
        <f t="shared" si="5"/>
        <v>8</v>
      </c>
      <c r="S3" s="16">
        <f>IFERROR((Q3/'League Calculation'!I$7)*100, "")</f>
        <v>0</v>
      </c>
      <c r="T3" s="30">
        <v>1.2</v>
      </c>
      <c r="U3" s="30">
        <v>0.5</v>
      </c>
      <c r="V3" s="31">
        <f t="shared" si="6"/>
        <v>9.3000000000000007</v>
      </c>
      <c r="W3" s="32">
        <f t="shared" si="7"/>
        <v>4</v>
      </c>
      <c r="X3" s="16">
        <f>IFERROR((V3/'League Calculation'!C$7)*100, "")</f>
        <v>89.855072463768124</v>
      </c>
      <c r="Y3" s="31">
        <f t="shared" si="8"/>
        <v>3.4000000000000004</v>
      </c>
      <c r="Z3" s="31">
        <f t="shared" si="9"/>
        <v>5.8</v>
      </c>
      <c r="AA3" s="31">
        <f t="shared" si="10"/>
        <v>32.400000000000006</v>
      </c>
      <c r="AB3" s="32">
        <f t="shared" si="11"/>
        <v>1</v>
      </c>
      <c r="AC3" s="16">
        <f>IFERROR((AA3/'League Calculation'!J$7)*100, "")</f>
        <v>100</v>
      </c>
    </row>
    <row r="4" spans="1:29" s="36" customFormat="1">
      <c r="A4" s="41" t="s">
        <v>98</v>
      </c>
      <c r="B4">
        <v>6</v>
      </c>
      <c r="C4" s="41" t="s">
        <v>101</v>
      </c>
      <c r="D4"/>
      <c r="E4" s="30">
        <v>2.15</v>
      </c>
      <c r="F4" s="30">
        <v>3.8</v>
      </c>
      <c r="G4" s="31">
        <f t="shared" si="0"/>
        <v>11.649999999999999</v>
      </c>
      <c r="H4" s="32">
        <f t="shared" si="1"/>
        <v>11</v>
      </c>
      <c r="I4" s="16">
        <f>IFERROR((G4/'League Calculation'!B$7)*100, "")</f>
        <v>90.310077519379831</v>
      </c>
      <c r="J4" s="30">
        <v>2</v>
      </c>
      <c r="K4" s="30">
        <v>2.7</v>
      </c>
      <c r="L4" s="31">
        <f t="shared" si="2"/>
        <v>10.7</v>
      </c>
      <c r="M4" s="32">
        <f t="shared" si="3"/>
        <v>5</v>
      </c>
      <c r="N4" s="16">
        <f>IFERROR((L4/'League Calculation'!H$7)*100, "")</f>
        <v>95.535714285714263</v>
      </c>
      <c r="O4" s="30">
        <v>0</v>
      </c>
      <c r="P4" s="30">
        <v>0</v>
      </c>
      <c r="Q4" s="31">
        <f t="shared" si="4"/>
        <v>0</v>
      </c>
      <c r="R4" s="32">
        <f t="shared" si="5"/>
        <v>8</v>
      </c>
      <c r="S4" s="16">
        <f>IFERROR((Q4/'League Calculation'!I$7)*100, "")</f>
        <v>0</v>
      </c>
      <c r="T4" s="30">
        <v>1.1499999999999999</v>
      </c>
      <c r="U4" s="30">
        <v>1</v>
      </c>
      <c r="V4" s="31">
        <f t="shared" si="6"/>
        <v>9.85</v>
      </c>
      <c r="W4" s="32">
        <f t="shared" si="7"/>
        <v>2</v>
      </c>
      <c r="X4" s="16">
        <f>IFERROR((V4/'League Calculation'!C$7)*100, "")</f>
        <v>95.169082125603865</v>
      </c>
      <c r="Y4" s="31">
        <f t="shared" si="8"/>
        <v>5.3000000000000007</v>
      </c>
      <c r="Z4" s="31">
        <f t="shared" si="9"/>
        <v>7.5</v>
      </c>
      <c r="AA4" s="31">
        <f t="shared" si="10"/>
        <v>32.199999999999996</v>
      </c>
      <c r="AB4" s="32">
        <f t="shared" si="11"/>
        <v>3</v>
      </c>
      <c r="AC4" s="16">
        <f>IFERROR((AA4/'League Calculation'!J$7)*100, "")</f>
        <v>99.38271604938268</v>
      </c>
    </row>
    <row r="5" spans="1:29" s="29" customFormat="1">
      <c r="A5" s="41" t="s">
        <v>69</v>
      </c>
      <c r="B5">
        <v>18</v>
      </c>
      <c r="C5" s="41" t="s">
        <v>164</v>
      </c>
      <c r="D5"/>
      <c r="E5" s="30">
        <v>0.6</v>
      </c>
      <c r="F5" s="30">
        <v>3.5</v>
      </c>
      <c r="G5" s="31">
        <f t="shared" si="0"/>
        <v>12.9</v>
      </c>
      <c r="H5" s="32">
        <f t="shared" si="1"/>
        <v>1</v>
      </c>
      <c r="I5" s="16">
        <f>IFERROR((G5/'League Calculation'!B$7)*100, "")</f>
        <v>100</v>
      </c>
      <c r="J5" s="30">
        <v>0</v>
      </c>
      <c r="K5" s="30">
        <v>0</v>
      </c>
      <c r="L5" s="31">
        <f t="shared" si="2"/>
        <v>0</v>
      </c>
      <c r="M5" s="32">
        <f t="shared" si="3"/>
        <v>11</v>
      </c>
      <c r="N5" s="16">
        <f>IFERROR((L5/'League Calculation'!H$7)*100, "")</f>
        <v>0</v>
      </c>
      <c r="O5" s="30">
        <v>2.7</v>
      </c>
      <c r="P5" s="30">
        <v>1.5</v>
      </c>
      <c r="Q5" s="31">
        <f t="shared" si="4"/>
        <v>8.8000000000000007</v>
      </c>
      <c r="R5" s="32">
        <f t="shared" si="5"/>
        <v>5</v>
      </c>
      <c r="S5" s="16">
        <f>IFERROR((Q5/'League Calculation'!I$7)*100, "")</f>
        <v>83.018867924528294</v>
      </c>
      <c r="T5" s="30">
        <v>0.65</v>
      </c>
      <c r="U5" s="30">
        <v>1</v>
      </c>
      <c r="V5" s="31">
        <f t="shared" si="6"/>
        <v>10.35</v>
      </c>
      <c r="W5" s="32">
        <f t="shared" si="7"/>
        <v>1</v>
      </c>
      <c r="X5" s="16">
        <f>IFERROR((V5/'League Calculation'!C$7)*100, "")</f>
        <v>100</v>
      </c>
      <c r="Y5" s="31">
        <f t="shared" si="8"/>
        <v>3.95</v>
      </c>
      <c r="Z5" s="31">
        <f t="shared" si="9"/>
        <v>6</v>
      </c>
      <c r="AA5" s="31">
        <f t="shared" si="10"/>
        <v>32.050000000000004</v>
      </c>
      <c r="AB5" s="32">
        <f t="shared" si="11"/>
        <v>4</v>
      </c>
      <c r="AC5" s="16">
        <f>IFERROR((AA5/'League Calculation'!J$7)*100, "")</f>
        <v>98.919753086419746</v>
      </c>
    </row>
    <row r="6" spans="1:29" s="29" customFormat="1">
      <c r="A6" s="41" t="s">
        <v>69</v>
      </c>
      <c r="B6">
        <v>11</v>
      </c>
      <c r="C6" s="41" t="s">
        <v>159</v>
      </c>
      <c r="D6"/>
      <c r="E6" s="37">
        <v>1.1000000000000001</v>
      </c>
      <c r="F6" s="37">
        <v>3.2</v>
      </c>
      <c r="G6" s="31">
        <f t="shared" si="0"/>
        <v>12.100000000000001</v>
      </c>
      <c r="H6" s="32">
        <f t="shared" si="1"/>
        <v>6</v>
      </c>
      <c r="I6" s="16">
        <f>IFERROR((G6/'League Calculation'!B$7)*100, "")</f>
        <v>93.798449612403118</v>
      </c>
      <c r="J6" s="37">
        <v>1.2</v>
      </c>
      <c r="K6" s="37">
        <v>2.4</v>
      </c>
      <c r="L6" s="31">
        <f t="shared" si="2"/>
        <v>11.200000000000001</v>
      </c>
      <c r="M6" s="32">
        <f t="shared" si="3"/>
        <v>1</v>
      </c>
      <c r="N6" s="16">
        <f>IFERROR((L6/'League Calculation'!H$7)*100, "")</f>
        <v>100</v>
      </c>
      <c r="O6" s="37">
        <v>0</v>
      </c>
      <c r="P6" s="37">
        <v>0</v>
      </c>
      <c r="Q6" s="31">
        <f t="shared" si="4"/>
        <v>0</v>
      </c>
      <c r="R6" s="32">
        <f t="shared" si="5"/>
        <v>8</v>
      </c>
      <c r="S6" s="16">
        <f>IFERROR((Q6/'League Calculation'!I$7)*100, "")</f>
        <v>0</v>
      </c>
      <c r="T6" s="37">
        <v>1.45</v>
      </c>
      <c r="U6" s="37">
        <v>0</v>
      </c>
      <c r="V6" s="31">
        <f t="shared" si="6"/>
        <v>8.5500000000000007</v>
      </c>
      <c r="W6" s="32">
        <f t="shared" si="7"/>
        <v>8</v>
      </c>
      <c r="X6" s="16">
        <f>IFERROR((V6/'League Calculation'!C$7)*100, "")</f>
        <v>82.608695652173921</v>
      </c>
      <c r="Y6" s="31">
        <f t="shared" si="8"/>
        <v>3.75</v>
      </c>
      <c r="Z6" s="31">
        <f t="shared" si="9"/>
        <v>5.6</v>
      </c>
      <c r="AA6" s="31">
        <f t="shared" si="10"/>
        <v>31.850000000000005</v>
      </c>
      <c r="AB6" s="32">
        <f t="shared" si="11"/>
        <v>5</v>
      </c>
      <c r="AC6" s="16">
        <f>IFERROR((AA6/'League Calculation'!J$7)*100, "")</f>
        <v>98.302469135802468</v>
      </c>
    </row>
    <row r="7" spans="1:29" s="29" customFormat="1">
      <c r="A7" s="41" t="s">
        <v>73</v>
      </c>
      <c r="B7">
        <v>14</v>
      </c>
      <c r="C7" s="41" t="s">
        <v>93</v>
      </c>
      <c r="D7"/>
      <c r="E7" s="30">
        <v>1.25</v>
      </c>
      <c r="F7" s="30">
        <v>3.4</v>
      </c>
      <c r="G7" s="31">
        <f t="shared" si="0"/>
        <v>12.15</v>
      </c>
      <c r="H7" s="32">
        <f t="shared" si="1"/>
        <v>4</v>
      </c>
      <c r="I7" s="16">
        <f>IFERROR((G7/'League Calculation'!B$7)*100, "")</f>
        <v>94.186046511627907</v>
      </c>
      <c r="J7" s="30">
        <v>0</v>
      </c>
      <c r="K7" s="30">
        <v>0</v>
      </c>
      <c r="L7" s="31">
        <f t="shared" si="2"/>
        <v>0</v>
      </c>
      <c r="M7" s="32">
        <f t="shared" si="3"/>
        <v>11</v>
      </c>
      <c r="N7" s="16">
        <f>IFERROR((L7/'League Calculation'!H$7)*100, "")</f>
        <v>0</v>
      </c>
      <c r="O7" s="30">
        <v>1.6</v>
      </c>
      <c r="P7" s="30">
        <v>2.1</v>
      </c>
      <c r="Q7" s="31">
        <f t="shared" si="4"/>
        <v>10.5</v>
      </c>
      <c r="R7" s="32">
        <f t="shared" si="5"/>
        <v>2</v>
      </c>
      <c r="S7" s="16">
        <f>IFERROR((Q7/'League Calculation'!I$7)*100, "")</f>
        <v>99.056603773584897</v>
      </c>
      <c r="T7" s="30">
        <v>1.1499999999999999</v>
      </c>
      <c r="U7" s="30">
        <v>0</v>
      </c>
      <c r="V7" s="31">
        <f t="shared" si="6"/>
        <v>8.85</v>
      </c>
      <c r="W7" s="32">
        <f t="shared" si="7"/>
        <v>6</v>
      </c>
      <c r="X7" s="16">
        <f>IFERROR((V7/'League Calculation'!C$7)*100, "")</f>
        <v>85.507246376811594</v>
      </c>
      <c r="Y7" s="31">
        <f t="shared" si="8"/>
        <v>4</v>
      </c>
      <c r="Z7" s="31">
        <f t="shared" si="9"/>
        <v>5.5</v>
      </c>
      <c r="AA7" s="31">
        <f t="shared" si="10"/>
        <v>31.5</v>
      </c>
      <c r="AB7" s="32">
        <f t="shared" si="11"/>
        <v>6</v>
      </c>
      <c r="AC7" s="16">
        <f>IFERROR((AA7/'League Calculation'!J$7)*100, "")</f>
        <v>97.222222222222214</v>
      </c>
    </row>
    <row r="8" spans="1:29" s="29" customFormat="1">
      <c r="A8" s="41" t="s">
        <v>136</v>
      </c>
      <c r="B8">
        <v>16</v>
      </c>
      <c r="C8" s="41" t="s">
        <v>162</v>
      </c>
      <c r="D8"/>
      <c r="E8" s="30">
        <v>1.1000000000000001</v>
      </c>
      <c r="F8" s="30">
        <v>2.6</v>
      </c>
      <c r="G8" s="31">
        <f t="shared" si="0"/>
        <v>11.5</v>
      </c>
      <c r="H8" s="32">
        <f t="shared" si="1"/>
        <v>14</v>
      </c>
      <c r="I8" s="16">
        <f>IFERROR((G8/'League Calculation'!B$7)*100, "")</f>
        <v>89.147286821705436</v>
      </c>
      <c r="J8" s="30">
        <v>0</v>
      </c>
      <c r="K8" s="30">
        <v>0</v>
      </c>
      <c r="L8" s="31">
        <f t="shared" si="2"/>
        <v>0</v>
      </c>
      <c r="M8" s="32">
        <f t="shared" si="3"/>
        <v>11</v>
      </c>
      <c r="N8" s="16">
        <f>IFERROR((L8/'League Calculation'!H$7)*100, "")</f>
        <v>0</v>
      </c>
      <c r="O8" s="30">
        <v>1.85</v>
      </c>
      <c r="P8" s="30">
        <v>1.9</v>
      </c>
      <c r="Q8" s="31">
        <f t="shared" si="4"/>
        <v>10.050000000000001</v>
      </c>
      <c r="R8" s="32">
        <f t="shared" si="5"/>
        <v>3</v>
      </c>
      <c r="S8" s="16">
        <f>IFERROR((Q8/'League Calculation'!I$7)*100, "")</f>
        <v>94.811320754716974</v>
      </c>
      <c r="T8" s="30">
        <v>1.05</v>
      </c>
      <c r="U8" s="30">
        <v>0</v>
      </c>
      <c r="V8" s="31">
        <f t="shared" si="6"/>
        <v>8.9499999999999993</v>
      </c>
      <c r="W8" s="32">
        <f t="shared" si="7"/>
        <v>5</v>
      </c>
      <c r="X8" s="16">
        <f>IFERROR((V8/'League Calculation'!C$7)*100, "")</f>
        <v>86.473429951690818</v>
      </c>
      <c r="Y8" s="31">
        <f t="shared" si="8"/>
        <v>4</v>
      </c>
      <c r="Z8" s="31">
        <f t="shared" si="9"/>
        <v>4.5</v>
      </c>
      <c r="AA8" s="31">
        <f t="shared" si="10"/>
        <v>30.5</v>
      </c>
      <c r="AB8" s="32">
        <f t="shared" si="11"/>
        <v>7</v>
      </c>
      <c r="AC8" s="16">
        <f>IFERROR((AA8/'League Calculation'!J$7)*100, "")</f>
        <v>94.135802469135783</v>
      </c>
    </row>
    <row r="9" spans="1:29" s="29" customFormat="1">
      <c r="A9" s="41" t="s">
        <v>136</v>
      </c>
      <c r="B9">
        <v>15</v>
      </c>
      <c r="C9" s="41" t="s">
        <v>161</v>
      </c>
      <c r="D9"/>
      <c r="E9" s="30">
        <v>1.7</v>
      </c>
      <c r="F9" s="30">
        <v>3.5</v>
      </c>
      <c r="G9" s="31">
        <f t="shared" si="0"/>
        <v>11.8</v>
      </c>
      <c r="H9" s="32">
        <f t="shared" si="1"/>
        <v>9</v>
      </c>
      <c r="I9" s="16">
        <f>IFERROR((G9/'League Calculation'!B$7)*100, "")</f>
        <v>91.47286821705427</v>
      </c>
      <c r="J9" s="30">
        <v>0</v>
      </c>
      <c r="K9" s="30">
        <v>0</v>
      </c>
      <c r="L9" s="31">
        <f t="shared" si="2"/>
        <v>0</v>
      </c>
      <c r="M9" s="32">
        <f t="shared" si="3"/>
        <v>11</v>
      </c>
      <c r="N9" s="16">
        <f>IFERROR((L9/'League Calculation'!H$7)*100, "")</f>
        <v>0</v>
      </c>
      <c r="O9" s="30">
        <v>2.8</v>
      </c>
      <c r="P9" s="30">
        <v>2.5</v>
      </c>
      <c r="Q9" s="31">
        <f t="shared" si="4"/>
        <v>9.6999999999999993</v>
      </c>
      <c r="R9" s="32">
        <f t="shared" si="5"/>
        <v>4</v>
      </c>
      <c r="S9" s="16">
        <f>IFERROR((Q9/'League Calculation'!I$7)*100, "")</f>
        <v>91.509433962264126</v>
      </c>
      <c r="T9" s="30">
        <v>1.55</v>
      </c>
      <c r="U9" s="30">
        <v>0</v>
      </c>
      <c r="V9" s="31">
        <f t="shared" si="6"/>
        <v>8.4499999999999993</v>
      </c>
      <c r="W9" s="32">
        <f t="shared" si="7"/>
        <v>9</v>
      </c>
      <c r="X9" s="16">
        <f>IFERROR((V9/'League Calculation'!C$7)*100, "")</f>
        <v>81.642512077294683</v>
      </c>
      <c r="Y9" s="31">
        <f t="shared" si="8"/>
        <v>6.05</v>
      </c>
      <c r="Z9" s="31">
        <f t="shared" si="9"/>
        <v>6</v>
      </c>
      <c r="AA9" s="31">
        <f t="shared" si="10"/>
        <v>29.95</v>
      </c>
      <c r="AB9" s="32">
        <f t="shared" si="11"/>
        <v>8</v>
      </c>
      <c r="AC9" s="16">
        <f>IFERROR((AA9/'League Calculation'!J$7)*100, "")</f>
        <v>92.438271604938251</v>
      </c>
    </row>
    <row r="10" spans="1:29" s="29" customFormat="1">
      <c r="A10" s="41" t="s">
        <v>69</v>
      </c>
      <c r="B10">
        <v>12</v>
      </c>
      <c r="C10" s="41" t="s">
        <v>160</v>
      </c>
      <c r="D10"/>
      <c r="E10" s="30">
        <v>2</v>
      </c>
      <c r="F10" s="30">
        <v>3.2</v>
      </c>
      <c r="G10" s="31">
        <f t="shared" si="0"/>
        <v>11.2</v>
      </c>
      <c r="H10" s="32">
        <f t="shared" si="1"/>
        <v>17</v>
      </c>
      <c r="I10" s="16">
        <f>IFERROR((G10/'League Calculation'!B$7)*100, "")</f>
        <v>86.821705426356573</v>
      </c>
      <c r="J10" s="30">
        <v>1.6</v>
      </c>
      <c r="K10" s="30">
        <v>2.4</v>
      </c>
      <c r="L10" s="31">
        <f t="shared" si="2"/>
        <v>10.8</v>
      </c>
      <c r="M10" s="32">
        <f t="shared" si="3"/>
        <v>2</v>
      </c>
      <c r="N10" s="16">
        <f>IFERROR((L10/'League Calculation'!H$7)*100, "")</f>
        <v>96.428571428571431</v>
      </c>
      <c r="O10" s="30">
        <v>0</v>
      </c>
      <c r="P10" s="30">
        <v>0</v>
      </c>
      <c r="Q10" s="31">
        <f t="shared" si="4"/>
        <v>0</v>
      </c>
      <c r="R10" s="32">
        <f t="shared" si="5"/>
        <v>8</v>
      </c>
      <c r="S10" s="16">
        <f>IFERROR((Q10/'League Calculation'!I$7)*100, "")</f>
        <v>0</v>
      </c>
      <c r="T10" s="30">
        <v>2.15</v>
      </c>
      <c r="U10" s="30">
        <v>0</v>
      </c>
      <c r="V10" s="31">
        <f t="shared" si="6"/>
        <v>7.85</v>
      </c>
      <c r="W10" s="32">
        <f t="shared" si="7"/>
        <v>12</v>
      </c>
      <c r="X10" s="16">
        <f>IFERROR((V10/'League Calculation'!C$7)*100, "")</f>
        <v>75.845410628019323</v>
      </c>
      <c r="Y10" s="31">
        <f t="shared" si="8"/>
        <v>5.75</v>
      </c>
      <c r="Z10" s="31">
        <f t="shared" si="9"/>
        <v>5.6</v>
      </c>
      <c r="AA10" s="31">
        <f t="shared" si="10"/>
        <v>29.85</v>
      </c>
      <c r="AB10" s="32">
        <f t="shared" si="11"/>
        <v>9</v>
      </c>
      <c r="AC10" s="16">
        <f>IFERROR((AA10/'League Calculation'!J$7)*100, "")</f>
        <v>92.129629629629619</v>
      </c>
    </row>
    <row r="11" spans="1:29" s="29" customFormat="1">
      <c r="A11" s="41" t="s">
        <v>124</v>
      </c>
      <c r="B11">
        <v>19</v>
      </c>
      <c r="C11" s="41" t="s">
        <v>165</v>
      </c>
      <c r="D11"/>
      <c r="E11" s="30">
        <v>1</v>
      </c>
      <c r="F11" s="30">
        <v>3.5</v>
      </c>
      <c r="G11" s="31">
        <f t="shared" si="0"/>
        <v>12.5</v>
      </c>
      <c r="H11" s="32">
        <f t="shared" si="1"/>
        <v>2</v>
      </c>
      <c r="I11" s="16">
        <f>IFERROR((G11/'League Calculation'!B$7)*100, "")</f>
        <v>96.899224806201545</v>
      </c>
      <c r="J11" s="30">
        <v>0</v>
      </c>
      <c r="K11" s="30">
        <v>0</v>
      </c>
      <c r="L11" s="31">
        <f t="shared" si="2"/>
        <v>0</v>
      </c>
      <c r="M11" s="32">
        <f t="shared" si="3"/>
        <v>11</v>
      </c>
      <c r="N11" s="16">
        <f>IFERROR((L11/'League Calculation'!H$7)*100, "")</f>
        <v>0</v>
      </c>
      <c r="O11" s="30">
        <v>3.1</v>
      </c>
      <c r="P11" s="30">
        <v>1.2</v>
      </c>
      <c r="Q11" s="31">
        <f t="shared" si="4"/>
        <v>8.1</v>
      </c>
      <c r="R11" s="32">
        <f t="shared" si="5"/>
        <v>6</v>
      </c>
      <c r="S11" s="16">
        <f>IFERROR((Q11/'League Calculation'!I$7)*100, "")</f>
        <v>76.415094339622627</v>
      </c>
      <c r="T11" s="30">
        <v>1.2</v>
      </c>
      <c r="U11" s="30">
        <v>0</v>
      </c>
      <c r="V11" s="31">
        <f t="shared" si="6"/>
        <v>8.8000000000000007</v>
      </c>
      <c r="W11" s="32">
        <f t="shared" si="7"/>
        <v>7</v>
      </c>
      <c r="X11" s="16">
        <f>IFERROR((V11/'League Calculation'!C$7)*100, "")</f>
        <v>85.024154589371989</v>
      </c>
      <c r="Y11" s="31">
        <f t="shared" si="8"/>
        <v>5.3</v>
      </c>
      <c r="Z11" s="31">
        <f t="shared" si="9"/>
        <v>4.7</v>
      </c>
      <c r="AA11" s="31">
        <f t="shared" si="10"/>
        <v>29.400000000000002</v>
      </c>
      <c r="AB11" s="32">
        <f t="shared" si="11"/>
        <v>10</v>
      </c>
      <c r="AC11" s="16">
        <f>IFERROR((AA11/'League Calculation'!J$7)*100, "")</f>
        <v>90.740740740740733</v>
      </c>
    </row>
    <row r="12" spans="1:29" s="29" customFormat="1">
      <c r="A12" s="41" t="s">
        <v>74</v>
      </c>
      <c r="B12">
        <v>5</v>
      </c>
      <c r="C12" s="41" t="s">
        <v>154</v>
      </c>
      <c r="D12"/>
      <c r="E12" s="30">
        <v>1.6</v>
      </c>
      <c r="F12" s="30">
        <v>3.4</v>
      </c>
      <c r="G12" s="31">
        <f t="shared" si="0"/>
        <v>11.8</v>
      </c>
      <c r="H12" s="32">
        <f t="shared" si="1"/>
        <v>9</v>
      </c>
      <c r="I12" s="16">
        <f>IFERROR((G12/'League Calculation'!B$7)*100, "")</f>
        <v>91.47286821705427</v>
      </c>
      <c r="J12" s="30">
        <v>3.4</v>
      </c>
      <c r="K12" s="30">
        <v>2.4</v>
      </c>
      <c r="L12" s="31">
        <f t="shared" si="2"/>
        <v>9</v>
      </c>
      <c r="M12" s="32">
        <f t="shared" si="3"/>
        <v>7</v>
      </c>
      <c r="N12" s="16">
        <f>IFERROR((L12/'League Calculation'!H$7)*100, "")</f>
        <v>80.357142857142847</v>
      </c>
      <c r="O12" s="30">
        <v>0</v>
      </c>
      <c r="P12" s="30">
        <v>0</v>
      </c>
      <c r="Q12" s="31">
        <f t="shared" si="4"/>
        <v>0</v>
      </c>
      <c r="R12" s="32">
        <f t="shared" si="5"/>
        <v>8</v>
      </c>
      <c r="S12" s="16">
        <f>IFERROR((Q12/'League Calculation'!I$7)*100, "")</f>
        <v>0</v>
      </c>
      <c r="T12" s="30">
        <v>1.85</v>
      </c>
      <c r="U12" s="30">
        <v>0</v>
      </c>
      <c r="V12" s="31">
        <f t="shared" si="6"/>
        <v>8.15</v>
      </c>
      <c r="W12" s="32">
        <f t="shared" si="7"/>
        <v>11</v>
      </c>
      <c r="X12" s="16">
        <f>IFERROR((V12/'League Calculation'!C$7)*100, "")</f>
        <v>78.74396135265701</v>
      </c>
      <c r="Y12" s="31">
        <f t="shared" si="8"/>
        <v>6.85</v>
      </c>
      <c r="Z12" s="31">
        <f t="shared" si="9"/>
        <v>5.8</v>
      </c>
      <c r="AA12" s="31">
        <f t="shared" si="10"/>
        <v>28.950000000000003</v>
      </c>
      <c r="AB12" s="32">
        <f t="shared" si="11"/>
        <v>11</v>
      </c>
      <c r="AC12" s="16">
        <f>IFERROR((AA12/'League Calculation'!J$7)*100, "")</f>
        <v>89.351851851851848</v>
      </c>
    </row>
    <row r="13" spans="1:29" s="29" customFormat="1">
      <c r="A13" s="41" t="s">
        <v>124</v>
      </c>
      <c r="B13">
        <v>7</v>
      </c>
      <c r="C13" s="41" t="s">
        <v>155</v>
      </c>
      <c r="D13"/>
      <c r="E13" s="30">
        <v>1.65</v>
      </c>
      <c r="F13" s="30">
        <v>3.2</v>
      </c>
      <c r="G13" s="31">
        <f t="shared" si="0"/>
        <v>11.55</v>
      </c>
      <c r="H13" s="32">
        <f t="shared" si="1"/>
        <v>13</v>
      </c>
      <c r="I13" s="16">
        <f>IFERROR((G13/'League Calculation'!B$7)*100, "")</f>
        <v>89.534883720930239</v>
      </c>
      <c r="J13" s="30">
        <v>3.05</v>
      </c>
      <c r="K13" s="30">
        <v>1.8</v>
      </c>
      <c r="L13" s="31">
        <f t="shared" si="2"/>
        <v>8.75</v>
      </c>
      <c r="M13" s="32">
        <f t="shared" si="3"/>
        <v>8</v>
      </c>
      <c r="N13" s="16">
        <f>IFERROR((L13/'League Calculation'!H$7)*100, "")</f>
        <v>78.124999999999986</v>
      </c>
      <c r="O13" s="30">
        <v>0</v>
      </c>
      <c r="P13" s="30">
        <v>0</v>
      </c>
      <c r="Q13" s="31">
        <f t="shared" si="4"/>
        <v>0</v>
      </c>
      <c r="R13" s="32">
        <f t="shared" si="5"/>
        <v>8</v>
      </c>
      <c r="S13" s="16">
        <f>IFERROR((Q13/'League Calculation'!I$7)*100, "")</f>
        <v>0</v>
      </c>
      <c r="T13" s="30">
        <v>2.2000000000000002</v>
      </c>
      <c r="U13" s="30">
        <v>0</v>
      </c>
      <c r="V13" s="31">
        <f t="shared" si="6"/>
        <v>7.8</v>
      </c>
      <c r="W13" s="32">
        <f t="shared" si="7"/>
        <v>13</v>
      </c>
      <c r="X13" s="16">
        <f>IFERROR((V13/'League Calculation'!C$7)*100, "")</f>
        <v>75.362318840579718</v>
      </c>
      <c r="Y13" s="31">
        <f t="shared" si="8"/>
        <v>6.8999999999999995</v>
      </c>
      <c r="Z13" s="31">
        <f t="shared" si="9"/>
        <v>5</v>
      </c>
      <c r="AA13" s="31">
        <f t="shared" si="10"/>
        <v>28.1</v>
      </c>
      <c r="AB13" s="32">
        <f t="shared" si="11"/>
        <v>12</v>
      </c>
      <c r="AC13" s="16">
        <f>IFERROR((AA13/'League Calculation'!J$7)*100, "")</f>
        <v>86.728395061728378</v>
      </c>
    </row>
    <row r="14" spans="1:29" s="29" customFormat="1">
      <c r="A14" s="41" t="s">
        <v>69</v>
      </c>
      <c r="B14">
        <v>17</v>
      </c>
      <c r="C14" s="41" t="s">
        <v>163</v>
      </c>
      <c r="D14"/>
      <c r="E14" s="30">
        <v>1.6</v>
      </c>
      <c r="F14" s="30">
        <v>3.2</v>
      </c>
      <c r="G14" s="31">
        <f t="shared" si="0"/>
        <v>11.600000000000001</v>
      </c>
      <c r="H14" s="32">
        <f t="shared" si="1"/>
        <v>12</v>
      </c>
      <c r="I14" s="16">
        <f>IFERROR((G14/'League Calculation'!B$7)*100, "")</f>
        <v>89.922480620155042</v>
      </c>
      <c r="J14" s="30">
        <v>0</v>
      </c>
      <c r="K14" s="30">
        <v>0</v>
      </c>
      <c r="L14" s="31">
        <f t="shared" si="2"/>
        <v>0</v>
      </c>
      <c r="M14" s="32">
        <f t="shared" si="3"/>
        <v>11</v>
      </c>
      <c r="N14" s="16">
        <f>IFERROR((L14/'League Calculation'!H$7)*100, "")</f>
        <v>0</v>
      </c>
      <c r="O14" s="30">
        <v>3.95</v>
      </c>
      <c r="P14" s="30">
        <v>2</v>
      </c>
      <c r="Q14" s="31">
        <f t="shared" si="4"/>
        <v>8.0500000000000007</v>
      </c>
      <c r="R14" s="32">
        <f t="shared" si="5"/>
        <v>7</v>
      </c>
      <c r="S14" s="16">
        <f>IFERROR((Q14/'League Calculation'!I$7)*100, "")</f>
        <v>75.943396226415089</v>
      </c>
      <c r="T14" s="30">
        <v>1.7</v>
      </c>
      <c r="U14" s="30">
        <v>0</v>
      </c>
      <c r="V14" s="31">
        <f t="shared" si="6"/>
        <v>8.3000000000000007</v>
      </c>
      <c r="W14" s="32">
        <f t="shared" si="7"/>
        <v>10</v>
      </c>
      <c r="X14" s="16">
        <f>IFERROR((V14/'League Calculation'!C$7)*100, "")</f>
        <v>80.193236714975853</v>
      </c>
      <c r="Y14" s="31">
        <f t="shared" si="8"/>
        <v>7.2500000000000009</v>
      </c>
      <c r="Z14" s="31">
        <f t="shared" si="9"/>
        <v>5.2</v>
      </c>
      <c r="AA14" s="31">
        <f t="shared" si="10"/>
        <v>27.950000000000003</v>
      </c>
      <c r="AB14" s="32">
        <f t="shared" si="11"/>
        <v>13</v>
      </c>
      <c r="AC14" s="16">
        <f>IFERROR((AA14/'League Calculation'!J$7)*100, "")</f>
        <v>86.26543209876543</v>
      </c>
    </row>
    <row r="15" spans="1:29" s="29" customFormat="1">
      <c r="A15" s="41" t="s">
        <v>124</v>
      </c>
      <c r="B15">
        <v>10</v>
      </c>
      <c r="C15" s="41" t="s">
        <v>158</v>
      </c>
      <c r="D15"/>
      <c r="E15" s="30">
        <v>1.25</v>
      </c>
      <c r="F15" s="30">
        <v>2.1</v>
      </c>
      <c r="G15" s="31">
        <f t="shared" si="0"/>
        <v>10.85</v>
      </c>
      <c r="H15" s="32">
        <f t="shared" si="1"/>
        <v>18</v>
      </c>
      <c r="I15" s="16">
        <f>IFERROR((G15/'League Calculation'!B$7)*100, "")</f>
        <v>84.108527131782935</v>
      </c>
      <c r="J15" s="30">
        <v>5.2</v>
      </c>
      <c r="K15" s="30">
        <v>1.4</v>
      </c>
      <c r="L15" s="31">
        <f t="shared" si="2"/>
        <v>6.1999999999999993</v>
      </c>
      <c r="M15" s="32">
        <f t="shared" si="3"/>
        <v>9</v>
      </c>
      <c r="N15" s="16">
        <f>IFERROR((L15/'League Calculation'!H$7)*100, "")</f>
        <v>55.357142857142847</v>
      </c>
      <c r="O15" s="30">
        <v>0</v>
      </c>
      <c r="P15" s="30">
        <v>0</v>
      </c>
      <c r="Q15" s="31">
        <f t="shared" si="4"/>
        <v>0</v>
      </c>
      <c r="R15" s="32">
        <f t="shared" si="5"/>
        <v>8</v>
      </c>
      <c r="S15" s="16">
        <f>IFERROR((Q15/'League Calculation'!I$7)*100, "")</f>
        <v>0</v>
      </c>
      <c r="T15" s="30">
        <v>4.1500000000000004</v>
      </c>
      <c r="U15" s="30">
        <v>0</v>
      </c>
      <c r="V15" s="31">
        <f t="shared" si="6"/>
        <v>5.85</v>
      </c>
      <c r="W15" s="32">
        <f t="shared" si="7"/>
        <v>14</v>
      </c>
      <c r="X15" s="16">
        <f>IFERROR((V15/'League Calculation'!C$7)*100, "")</f>
        <v>56.521739130434781</v>
      </c>
      <c r="Y15" s="31">
        <f t="shared" si="8"/>
        <v>10.600000000000001</v>
      </c>
      <c r="Z15" s="31">
        <f t="shared" si="9"/>
        <v>3.5</v>
      </c>
      <c r="AA15" s="31">
        <f t="shared" si="10"/>
        <v>22.9</v>
      </c>
      <c r="AB15" s="32">
        <f t="shared" si="11"/>
        <v>14</v>
      </c>
      <c r="AC15" s="16">
        <f>IFERROR((AA15/'League Calculation'!J$7)*100, "")</f>
        <v>70.679012345678998</v>
      </c>
    </row>
    <row r="16" spans="1:29" s="29" customFormat="1">
      <c r="A16" s="41" t="s">
        <v>73</v>
      </c>
      <c r="B16">
        <v>13</v>
      </c>
      <c r="C16" s="41" t="s">
        <v>92</v>
      </c>
      <c r="D16"/>
      <c r="E16" s="7">
        <v>1.7</v>
      </c>
      <c r="F16" s="7">
        <v>3.6</v>
      </c>
      <c r="G16" s="31">
        <f t="shared" si="0"/>
        <v>11.9</v>
      </c>
      <c r="H16" s="14">
        <f t="shared" si="1"/>
        <v>8</v>
      </c>
      <c r="I16" s="16">
        <f>IFERROR((G16/'League Calculation'!B$7)*100, "")</f>
        <v>92.248062015503876</v>
      </c>
      <c r="J16" s="7">
        <v>0</v>
      </c>
      <c r="K16" s="7">
        <v>0</v>
      </c>
      <c r="L16" s="31">
        <f t="shared" si="2"/>
        <v>0</v>
      </c>
      <c r="M16" s="14">
        <f t="shared" si="3"/>
        <v>11</v>
      </c>
      <c r="N16" s="16">
        <f>IFERROR((L16/'League Calculation'!H$7)*100, "")</f>
        <v>0</v>
      </c>
      <c r="O16" s="7">
        <v>1.7</v>
      </c>
      <c r="P16" s="7">
        <v>2.2999999999999998</v>
      </c>
      <c r="Q16" s="31">
        <f t="shared" si="4"/>
        <v>10.600000000000001</v>
      </c>
      <c r="R16" s="14">
        <f t="shared" si="5"/>
        <v>1</v>
      </c>
      <c r="S16" s="16">
        <f>IFERROR((Q16/'League Calculation'!I$7)*100, "")</f>
        <v>100</v>
      </c>
      <c r="T16" s="7">
        <v>0</v>
      </c>
      <c r="U16" s="7">
        <v>0</v>
      </c>
      <c r="V16" s="31">
        <f t="shared" si="6"/>
        <v>0</v>
      </c>
      <c r="W16" s="14">
        <f t="shared" si="7"/>
        <v>15</v>
      </c>
      <c r="X16" s="16">
        <f>IFERROR((V16/'League Calculation'!C$7)*100, "")</f>
        <v>0</v>
      </c>
      <c r="Y16" s="31">
        <f t="shared" si="8"/>
        <v>3.4</v>
      </c>
      <c r="Z16" s="31">
        <f t="shared" si="9"/>
        <v>5.9</v>
      </c>
      <c r="AA16" s="31">
        <f t="shared" si="10"/>
        <v>22.5</v>
      </c>
      <c r="AB16" s="14">
        <f t="shared" si="11"/>
        <v>15</v>
      </c>
      <c r="AC16" s="16">
        <f>IFERROR((AA16/'League Calculation'!J$7)*100, "")</f>
        <v>69.444444444444429</v>
      </c>
    </row>
    <row r="17" spans="1:29" s="29" customFormat="1">
      <c r="A17" s="41" t="s">
        <v>74</v>
      </c>
      <c r="B17">
        <v>4</v>
      </c>
      <c r="C17" s="41" t="s">
        <v>153</v>
      </c>
      <c r="D17"/>
      <c r="E17" s="30">
        <v>1.65</v>
      </c>
      <c r="F17" s="30">
        <v>3.1</v>
      </c>
      <c r="G17" s="31">
        <f t="shared" si="0"/>
        <v>11.45</v>
      </c>
      <c r="H17" s="32">
        <f t="shared" si="1"/>
        <v>16</v>
      </c>
      <c r="I17" s="16">
        <f>IFERROR((G17/'League Calculation'!B$7)*100, "")</f>
        <v>88.759689922480618</v>
      </c>
      <c r="J17" s="30">
        <v>2.0499999999999998</v>
      </c>
      <c r="K17" s="30">
        <v>2.2000000000000002</v>
      </c>
      <c r="L17" s="31">
        <f t="shared" si="2"/>
        <v>10.15</v>
      </c>
      <c r="M17" s="32">
        <f t="shared" si="3"/>
        <v>6</v>
      </c>
      <c r="N17" s="16">
        <f>IFERROR((L17/'League Calculation'!H$7)*100, "")</f>
        <v>90.625</v>
      </c>
      <c r="O17" s="30">
        <v>0</v>
      </c>
      <c r="P17" s="30">
        <v>0</v>
      </c>
      <c r="Q17" s="31">
        <f t="shared" si="4"/>
        <v>0</v>
      </c>
      <c r="R17" s="32">
        <f t="shared" si="5"/>
        <v>8</v>
      </c>
      <c r="S17" s="16">
        <f>IFERROR((Q17/'League Calculation'!I$7)*100, "")</f>
        <v>0</v>
      </c>
      <c r="T17" s="30">
        <v>0</v>
      </c>
      <c r="U17" s="30">
        <v>0</v>
      </c>
      <c r="V17" s="31">
        <f t="shared" si="6"/>
        <v>0</v>
      </c>
      <c r="W17" s="32">
        <f t="shared" si="7"/>
        <v>15</v>
      </c>
      <c r="X17" s="16">
        <f>IFERROR((V17/'League Calculation'!C$7)*100, "")</f>
        <v>0</v>
      </c>
      <c r="Y17" s="31">
        <f t="shared" si="8"/>
        <v>3.6999999999999997</v>
      </c>
      <c r="Z17" s="31">
        <f t="shared" si="9"/>
        <v>5.3000000000000007</v>
      </c>
      <c r="AA17" s="31">
        <f t="shared" si="10"/>
        <v>21.6</v>
      </c>
      <c r="AB17" s="32">
        <f t="shared" si="11"/>
        <v>16</v>
      </c>
      <c r="AC17" s="16">
        <f>IFERROR((AA17/'League Calculation'!J$7)*100, "")</f>
        <v>66.666666666666657</v>
      </c>
    </row>
    <row r="18" spans="1:29" s="29" customFormat="1">
      <c r="A18" s="41" t="s">
        <v>73</v>
      </c>
      <c r="B18">
        <v>2</v>
      </c>
      <c r="C18" s="41" t="s">
        <v>100</v>
      </c>
      <c r="D18"/>
      <c r="E18" s="30">
        <v>2.2000000000000002</v>
      </c>
      <c r="F18" s="30">
        <v>3.7</v>
      </c>
      <c r="G18" s="31">
        <f t="shared" si="0"/>
        <v>11.5</v>
      </c>
      <c r="H18" s="32">
        <f t="shared" si="1"/>
        <v>14</v>
      </c>
      <c r="I18" s="16">
        <f>IFERROR((G18/'League Calculation'!B$7)*100, "")</f>
        <v>89.147286821705436</v>
      </c>
      <c r="J18" s="30">
        <v>5.0999999999999996</v>
      </c>
      <c r="K18" s="30">
        <v>1.1000000000000001</v>
      </c>
      <c r="L18" s="31">
        <f t="shared" si="2"/>
        <v>6</v>
      </c>
      <c r="M18" s="32">
        <f t="shared" si="3"/>
        <v>10</v>
      </c>
      <c r="N18" s="16">
        <f>IFERROR((L18/'League Calculation'!H$7)*100, "")</f>
        <v>53.571428571428569</v>
      </c>
      <c r="O18" s="30">
        <v>0</v>
      </c>
      <c r="P18" s="30">
        <v>0</v>
      </c>
      <c r="Q18" s="31">
        <f t="shared" si="4"/>
        <v>0</v>
      </c>
      <c r="R18" s="32">
        <f t="shared" si="5"/>
        <v>8</v>
      </c>
      <c r="S18" s="16">
        <f>IFERROR((Q18/'League Calculation'!I$7)*100, "")</f>
        <v>0</v>
      </c>
      <c r="T18" s="30">
        <v>0</v>
      </c>
      <c r="U18" s="30">
        <v>0</v>
      </c>
      <c r="V18" s="31">
        <f t="shared" si="6"/>
        <v>0</v>
      </c>
      <c r="W18" s="32">
        <f t="shared" si="7"/>
        <v>15</v>
      </c>
      <c r="X18" s="16">
        <f>IFERROR((V18/'League Calculation'!C$7)*100, "")</f>
        <v>0</v>
      </c>
      <c r="Y18" s="31">
        <f t="shared" si="8"/>
        <v>7.3</v>
      </c>
      <c r="Z18" s="31">
        <f t="shared" si="9"/>
        <v>4.8000000000000007</v>
      </c>
      <c r="AA18" s="31">
        <f t="shared" si="10"/>
        <v>17.5</v>
      </c>
      <c r="AB18" s="32">
        <f t="shared" si="11"/>
        <v>17</v>
      </c>
      <c r="AC18" s="16">
        <f>IFERROR((AA18/'League Calculation'!J$7)*100, "")</f>
        <v>54.012345679012341</v>
      </c>
    </row>
    <row r="19" spans="1:29" s="29" customFormat="1">
      <c r="A19" s="41" t="s">
        <v>125</v>
      </c>
      <c r="B19">
        <v>3</v>
      </c>
      <c r="C19" s="41" t="s">
        <v>152</v>
      </c>
      <c r="D19"/>
      <c r="E19" s="30">
        <v>1.35</v>
      </c>
      <c r="F19" s="30">
        <v>3.5</v>
      </c>
      <c r="G19" s="31">
        <f t="shared" si="0"/>
        <v>12.15</v>
      </c>
      <c r="H19" s="32">
        <f t="shared" si="1"/>
        <v>4</v>
      </c>
      <c r="I19" s="16">
        <f>IFERROR((G19/'League Calculation'!B$7)*100, "")</f>
        <v>94.186046511627907</v>
      </c>
      <c r="J19" s="30">
        <v>0</v>
      </c>
      <c r="K19" s="30">
        <v>0</v>
      </c>
      <c r="L19" s="31">
        <f t="shared" si="2"/>
        <v>0</v>
      </c>
      <c r="M19" s="32">
        <f t="shared" si="3"/>
        <v>11</v>
      </c>
      <c r="N19" s="16">
        <f>IFERROR((L19/'League Calculation'!H$7)*100, "")</f>
        <v>0</v>
      </c>
      <c r="O19" s="30">
        <v>0</v>
      </c>
      <c r="P19" s="30">
        <v>0</v>
      </c>
      <c r="Q19" s="31">
        <f t="shared" si="4"/>
        <v>0</v>
      </c>
      <c r="R19" s="32">
        <f t="shared" si="5"/>
        <v>8</v>
      </c>
      <c r="S19" s="16">
        <f>IFERROR((Q19/'League Calculation'!I$7)*100, "")</f>
        <v>0</v>
      </c>
      <c r="T19" s="30">
        <v>0</v>
      </c>
      <c r="U19" s="30">
        <v>0</v>
      </c>
      <c r="V19" s="31">
        <f t="shared" si="6"/>
        <v>0</v>
      </c>
      <c r="W19" s="32">
        <f t="shared" si="7"/>
        <v>15</v>
      </c>
      <c r="X19" s="16">
        <f>IFERROR((V19/'League Calculation'!C$7)*100, "")</f>
        <v>0</v>
      </c>
      <c r="Y19" s="31">
        <f t="shared" si="8"/>
        <v>1.35</v>
      </c>
      <c r="Z19" s="31">
        <f t="shared" si="9"/>
        <v>3.5</v>
      </c>
      <c r="AA19" s="31">
        <f t="shared" si="10"/>
        <v>12.15</v>
      </c>
      <c r="AB19" s="32">
        <f t="shared" si="11"/>
        <v>18</v>
      </c>
      <c r="AC19" s="16">
        <f>IFERROR((AA19/'League Calculation'!J$7)*100, "")</f>
        <v>37.499999999999993</v>
      </c>
    </row>
    <row r="20" spans="1:29" s="29" customFormat="1">
      <c r="A20" s="41" t="s">
        <v>124</v>
      </c>
      <c r="B20">
        <v>8</v>
      </c>
      <c r="C20" s="41" t="s">
        <v>156</v>
      </c>
      <c r="D20"/>
      <c r="E20" s="30">
        <v>2.5</v>
      </c>
      <c r="F20" s="30">
        <v>2.6</v>
      </c>
      <c r="G20" s="31">
        <f t="shared" si="0"/>
        <v>10.1</v>
      </c>
      <c r="H20" s="32">
        <f t="shared" si="1"/>
        <v>19</v>
      </c>
      <c r="I20" s="16">
        <f>IFERROR((G20/'League Calculation'!B$7)*100, "")</f>
        <v>78.294573643410843</v>
      </c>
      <c r="J20" s="30">
        <v>0</v>
      </c>
      <c r="K20" s="30">
        <v>0</v>
      </c>
      <c r="L20" s="31">
        <f t="shared" si="2"/>
        <v>0</v>
      </c>
      <c r="M20" s="32">
        <f t="shared" si="3"/>
        <v>11</v>
      </c>
      <c r="N20" s="16">
        <f>IFERROR((L20/'League Calculation'!H$7)*100, "")</f>
        <v>0</v>
      </c>
      <c r="O20" s="30">
        <v>0</v>
      </c>
      <c r="P20" s="30">
        <v>0</v>
      </c>
      <c r="Q20" s="31">
        <f t="shared" si="4"/>
        <v>0</v>
      </c>
      <c r="R20" s="32">
        <f t="shared" si="5"/>
        <v>8</v>
      </c>
      <c r="S20" s="16">
        <f>IFERROR((Q20/'League Calculation'!I$7)*100, "")</f>
        <v>0</v>
      </c>
      <c r="T20" s="30">
        <v>0</v>
      </c>
      <c r="U20" s="30">
        <v>0</v>
      </c>
      <c r="V20" s="31">
        <f t="shared" si="6"/>
        <v>0</v>
      </c>
      <c r="W20" s="32">
        <f t="shared" si="7"/>
        <v>15</v>
      </c>
      <c r="X20" s="16">
        <f>IFERROR((V20/'League Calculation'!C$7)*100, "")</f>
        <v>0</v>
      </c>
      <c r="Y20" s="31">
        <f t="shared" si="8"/>
        <v>2.5</v>
      </c>
      <c r="Z20" s="31">
        <f t="shared" si="9"/>
        <v>2.6</v>
      </c>
      <c r="AA20" s="31">
        <f t="shared" si="10"/>
        <v>10.1</v>
      </c>
      <c r="AB20" s="32">
        <f t="shared" si="11"/>
        <v>19</v>
      </c>
      <c r="AC20" s="16">
        <f>IFERROR((AA20/'League Calculation'!J$7)*100, "")</f>
        <v>31.172839506172835</v>
      </c>
    </row>
    <row r="1048562" spans="8:9">
      <c r="H1048562" s="11">
        <f>SUM(H5)</f>
        <v>1</v>
      </c>
      <c r="I1048562" s="17">
        <f>SUM(I2:I1048561)</f>
        <v>1730.2325581395348</v>
      </c>
    </row>
  </sheetData>
  <sheetProtection selectLockedCells="1"/>
  <autoFilter ref="A1:A1048562" xr:uid="{81273FC6-37DF-3842-8DF8-943D1ABD1D19}"/>
  <sortState xmlns:xlrd2="http://schemas.microsoft.com/office/spreadsheetml/2017/richdata2" ref="A2:AC1048562">
    <sortCondition ref="AB2:AB1048562"/>
  </sortState>
  <conditionalFormatting sqref="AB1:AB1048576 W1:W1048576 R1:R1048576 M1:M1048576 H1:H1048576">
    <cfRule type="cellIs" dxfId="8" priority="13" operator="equal">
      <formula>3</formula>
    </cfRule>
    <cfRule type="cellIs" dxfId="7" priority="14" operator="equal">
      <formula>2</formula>
    </cfRule>
    <cfRule type="cellIs" dxfId="6" priority="15" operator="equal">
      <formula>1</formula>
    </cfRule>
  </conditionalFormatting>
  <dataValidations count="1">
    <dataValidation type="list" allowBlank="1" showInputMessage="1" showErrorMessage="1" sqref="D2:D1048576" xr:uid="{2388A6B3-E1B0-CC4E-A6F5-32A502264CC4}">
      <formula1>"Yes"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B902A-2601-4042-B904-520ABB7D1A3E}">
  <dimension ref="A1:S1048572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10" sqref="E10"/>
    </sheetView>
  </sheetViews>
  <sheetFormatPr defaultColWidth="10.83203125" defaultRowHeight="15.5"/>
  <cols>
    <col min="1" max="1" width="33" style="5" bestFit="1" customWidth="1"/>
    <col min="2" max="2" width="9.5" style="5" customWidth="1"/>
    <col min="3" max="3" width="19.83203125" style="5" bestFit="1" customWidth="1"/>
    <col min="4" max="4" width="4.83203125" style="5" bestFit="1" customWidth="1"/>
    <col min="5" max="6" width="11.33203125" style="5" customWidth="1"/>
    <col min="7" max="7" width="10.83203125" style="10"/>
    <col min="8" max="8" width="10.83203125" style="11"/>
    <col min="9" max="9" width="10.83203125" style="17"/>
    <col min="10" max="11" width="10.83203125" style="7"/>
    <col min="12" max="12" width="10.83203125" style="10"/>
    <col min="13" max="13" width="10.83203125" style="11"/>
    <col min="14" max="14" width="10.83203125" style="17"/>
    <col min="15" max="17" width="10.83203125" style="10"/>
    <col min="18" max="18" width="10.83203125" style="11"/>
    <col min="19" max="19" width="10.83203125" style="17"/>
    <col min="20" max="16384" width="10.83203125" style="5"/>
  </cols>
  <sheetData>
    <row r="1" spans="1:19" s="4" customFormat="1" ht="116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5" t="s">
        <v>3</v>
      </c>
      <c r="J1" s="6" t="s">
        <v>64</v>
      </c>
      <c r="K1" s="6" t="s">
        <v>35</v>
      </c>
      <c r="L1" s="12" t="s">
        <v>36</v>
      </c>
      <c r="M1" s="13" t="s">
        <v>96</v>
      </c>
      <c r="N1" s="15" t="s">
        <v>9</v>
      </c>
      <c r="O1" s="12" t="s">
        <v>63</v>
      </c>
      <c r="P1" s="12" t="s">
        <v>41</v>
      </c>
      <c r="Q1" s="12" t="s">
        <v>43</v>
      </c>
      <c r="R1" s="13" t="s">
        <v>96</v>
      </c>
      <c r="S1" s="15" t="s">
        <v>42</v>
      </c>
    </row>
    <row r="2" spans="1:19" s="36" customFormat="1">
      <c r="A2" s="49" t="s">
        <v>69</v>
      </c>
      <c r="B2" s="50">
        <v>7</v>
      </c>
      <c r="C2" s="49" t="s">
        <v>172</v>
      </c>
      <c r="D2" s="50"/>
      <c r="E2" s="51">
        <v>1.6</v>
      </c>
      <c r="F2" s="51">
        <v>1</v>
      </c>
      <c r="G2" s="52">
        <f t="shared" ref="G2:G18" si="0">(IF(E2=0, "0.00",10-E2))+F2</f>
        <v>9.4</v>
      </c>
      <c r="H2" s="53">
        <f t="shared" ref="H2:H18" si="1">RANK(G2, $G$2:$G$96, 0)</f>
        <v>1</v>
      </c>
      <c r="I2" s="54">
        <f>IFERROR((G2/'League Calculation'!B$8)*100, "")</f>
        <v>100</v>
      </c>
      <c r="J2" s="51">
        <v>0.1</v>
      </c>
      <c r="K2" s="51">
        <v>1.5</v>
      </c>
      <c r="L2" s="52">
        <f t="shared" ref="L2:L18" si="2">(IF(J2=0, "0.00",10-J2))+K2</f>
        <v>11.4</v>
      </c>
      <c r="M2" s="53">
        <f t="shared" ref="M2:M18" si="3">RANK(L2,$L$2:$L$996, 0)</f>
        <v>1</v>
      </c>
      <c r="N2" s="54">
        <f>IFERROR((L2/'League Calculation'!C$8)*100, "")</f>
        <v>100</v>
      </c>
      <c r="O2" s="52">
        <f t="shared" ref="O2:O18" si="4">E2+J2</f>
        <v>1.7000000000000002</v>
      </c>
      <c r="P2" s="52">
        <f t="shared" ref="P2:P18" si="5">F2+K2</f>
        <v>2.5</v>
      </c>
      <c r="Q2" s="52">
        <f t="shared" ref="Q2:Q18" si="6">G2+L2</f>
        <v>20.8</v>
      </c>
      <c r="R2" s="53">
        <f t="shared" ref="R2:R18" si="7">RANK(Q2,$Q$2:$Q$59996, 0)</f>
        <v>1</v>
      </c>
      <c r="S2" s="54">
        <f>IFERROR((Q2/'League Calculation'!J$8)*100, "")</f>
        <v>100</v>
      </c>
    </row>
    <row r="3" spans="1:19" s="36" customFormat="1">
      <c r="A3" s="41" t="s">
        <v>69</v>
      </c>
      <c r="B3">
        <v>9</v>
      </c>
      <c r="C3" s="41" t="s">
        <v>95</v>
      </c>
      <c r="D3"/>
      <c r="E3" s="37">
        <v>2.5499999999999998</v>
      </c>
      <c r="F3" s="37">
        <v>0.5</v>
      </c>
      <c r="G3" s="31">
        <f t="shared" si="0"/>
        <v>7.95</v>
      </c>
      <c r="H3" s="32">
        <f t="shared" si="1"/>
        <v>2</v>
      </c>
      <c r="I3" s="16">
        <f>IFERROR((G3/'League Calculation'!B$8)*100, "")</f>
        <v>84.574468085106375</v>
      </c>
      <c r="J3" s="37">
        <v>0.6</v>
      </c>
      <c r="K3" s="37">
        <v>1.5</v>
      </c>
      <c r="L3" s="31">
        <f t="shared" si="2"/>
        <v>10.9</v>
      </c>
      <c r="M3" s="32">
        <f t="shared" si="3"/>
        <v>5</v>
      </c>
      <c r="N3" s="16">
        <f>IFERROR((L3/'League Calculation'!C$8)*100, "")</f>
        <v>95.614035087719301</v>
      </c>
      <c r="O3" s="31">
        <f t="shared" si="4"/>
        <v>3.15</v>
      </c>
      <c r="P3" s="31">
        <f t="shared" si="5"/>
        <v>2</v>
      </c>
      <c r="Q3" s="31">
        <f t="shared" si="6"/>
        <v>18.850000000000001</v>
      </c>
      <c r="R3" s="32">
        <f t="shared" si="7"/>
        <v>2</v>
      </c>
      <c r="S3" s="16">
        <f>IFERROR((Q3/'League Calculation'!J$8)*100, "")</f>
        <v>90.625</v>
      </c>
    </row>
    <row r="4" spans="1:19" s="36" customFormat="1">
      <c r="A4" s="41" t="s">
        <v>69</v>
      </c>
      <c r="B4">
        <v>5</v>
      </c>
      <c r="C4" s="41" t="s">
        <v>170</v>
      </c>
      <c r="D4"/>
      <c r="E4" s="30">
        <v>3</v>
      </c>
      <c r="F4" s="30">
        <v>0</v>
      </c>
      <c r="G4" s="31">
        <f t="shared" si="0"/>
        <v>7</v>
      </c>
      <c r="H4" s="32">
        <f t="shared" si="1"/>
        <v>5</v>
      </c>
      <c r="I4" s="16">
        <f>IFERROR((G4/'League Calculation'!B$8)*100, "")</f>
        <v>74.468085106382972</v>
      </c>
      <c r="J4" s="30">
        <v>0.4</v>
      </c>
      <c r="K4" s="30">
        <v>1.5</v>
      </c>
      <c r="L4" s="31">
        <f t="shared" si="2"/>
        <v>11.1</v>
      </c>
      <c r="M4" s="32">
        <f t="shared" si="3"/>
        <v>3</v>
      </c>
      <c r="N4" s="16">
        <f>IFERROR((L4/'League Calculation'!C$8)*100, "")</f>
        <v>97.368421052631575</v>
      </c>
      <c r="O4" s="31">
        <f t="shared" si="4"/>
        <v>3.4</v>
      </c>
      <c r="P4" s="31">
        <f t="shared" si="5"/>
        <v>1.5</v>
      </c>
      <c r="Q4" s="31">
        <f t="shared" si="6"/>
        <v>18.100000000000001</v>
      </c>
      <c r="R4" s="32">
        <f t="shared" si="7"/>
        <v>3</v>
      </c>
      <c r="S4" s="16">
        <f>IFERROR((Q4/'League Calculation'!J$8)*100, "")</f>
        <v>87.019230769230774</v>
      </c>
    </row>
    <row r="5" spans="1:19" s="29" customFormat="1">
      <c r="A5" s="41" t="s">
        <v>73</v>
      </c>
      <c r="B5">
        <v>11</v>
      </c>
      <c r="C5" s="41" t="s">
        <v>102</v>
      </c>
      <c r="D5"/>
      <c r="E5" s="30">
        <v>2.85</v>
      </c>
      <c r="F5" s="30">
        <v>0</v>
      </c>
      <c r="G5" s="31">
        <f t="shared" si="0"/>
        <v>7.15</v>
      </c>
      <c r="H5" s="32">
        <f t="shared" si="1"/>
        <v>3</v>
      </c>
      <c r="I5" s="16">
        <f>IFERROR((G5/'League Calculation'!B$8)*100, "")</f>
        <v>76.063829787234042</v>
      </c>
      <c r="J5" s="30">
        <v>0.6</v>
      </c>
      <c r="K5" s="30">
        <v>1.5</v>
      </c>
      <c r="L5" s="31">
        <f t="shared" si="2"/>
        <v>10.9</v>
      </c>
      <c r="M5" s="32">
        <f t="shared" si="3"/>
        <v>5</v>
      </c>
      <c r="N5" s="16">
        <f>IFERROR((L5/'League Calculation'!C$8)*100, "")</f>
        <v>95.614035087719301</v>
      </c>
      <c r="O5" s="31">
        <f t="shared" si="4"/>
        <v>3.45</v>
      </c>
      <c r="P5" s="31">
        <f t="shared" si="5"/>
        <v>1.5</v>
      </c>
      <c r="Q5" s="31">
        <f t="shared" si="6"/>
        <v>18.05</v>
      </c>
      <c r="R5" s="32">
        <f t="shared" si="7"/>
        <v>4</v>
      </c>
      <c r="S5" s="16">
        <f>IFERROR((Q5/'League Calculation'!J$8)*100, "")</f>
        <v>86.77884615384616</v>
      </c>
    </row>
    <row r="6" spans="1:19" s="29" customFormat="1">
      <c r="A6" s="41" t="s">
        <v>98</v>
      </c>
      <c r="B6">
        <v>15</v>
      </c>
      <c r="C6" s="41" t="s">
        <v>104</v>
      </c>
      <c r="D6"/>
      <c r="E6" s="30">
        <v>3</v>
      </c>
      <c r="F6" s="30">
        <v>0</v>
      </c>
      <c r="G6" s="31">
        <f t="shared" si="0"/>
        <v>7</v>
      </c>
      <c r="H6" s="32">
        <f t="shared" si="1"/>
        <v>5</v>
      </c>
      <c r="I6" s="16">
        <f>IFERROR((G6/'League Calculation'!B$8)*100, "")</f>
        <v>74.468085106382972</v>
      </c>
      <c r="J6" s="30">
        <v>0.6</v>
      </c>
      <c r="K6" s="30">
        <v>1.5</v>
      </c>
      <c r="L6" s="31">
        <f t="shared" si="2"/>
        <v>10.9</v>
      </c>
      <c r="M6" s="32">
        <f t="shared" si="3"/>
        <v>5</v>
      </c>
      <c r="N6" s="16">
        <f>IFERROR((L6/'League Calculation'!C$8)*100, "")</f>
        <v>95.614035087719301</v>
      </c>
      <c r="O6" s="31">
        <f t="shared" si="4"/>
        <v>3.6</v>
      </c>
      <c r="P6" s="31">
        <f t="shared" si="5"/>
        <v>1.5</v>
      </c>
      <c r="Q6" s="31">
        <f t="shared" si="6"/>
        <v>17.899999999999999</v>
      </c>
      <c r="R6" s="32">
        <f t="shared" si="7"/>
        <v>5</v>
      </c>
      <c r="S6" s="16">
        <f>IFERROR((Q6/'League Calculation'!J$8)*100, "")</f>
        <v>86.057692307692307</v>
      </c>
    </row>
    <row r="7" spans="1:19" s="29" customFormat="1">
      <c r="A7" s="41" t="s">
        <v>125</v>
      </c>
      <c r="B7">
        <v>17</v>
      </c>
      <c r="C7" s="41" t="s">
        <v>178</v>
      </c>
      <c r="D7"/>
      <c r="E7" s="30">
        <v>3.9</v>
      </c>
      <c r="F7" s="30">
        <v>0.5</v>
      </c>
      <c r="G7" s="31">
        <f t="shared" si="0"/>
        <v>6.6</v>
      </c>
      <c r="H7" s="32">
        <f t="shared" si="1"/>
        <v>8</v>
      </c>
      <c r="I7" s="16">
        <f>IFERROR((G7/'League Calculation'!B$8)*100, "")</f>
        <v>70.212765957446805</v>
      </c>
      <c r="J7" s="30">
        <v>0.4</v>
      </c>
      <c r="K7" s="30">
        <v>1.5</v>
      </c>
      <c r="L7" s="31">
        <f t="shared" si="2"/>
        <v>11.1</v>
      </c>
      <c r="M7" s="32">
        <f t="shared" si="3"/>
        <v>3</v>
      </c>
      <c r="N7" s="16">
        <f>IFERROR((L7/'League Calculation'!C$8)*100, "")</f>
        <v>97.368421052631575</v>
      </c>
      <c r="O7" s="31">
        <f t="shared" si="4"/>
        <v>4.3</v>
      </c>
      <c r="P7" s="31">
        <f t="shared" si="5"/>
        <v>2</v>
      </c>
      <c r="Q7" s="31">
        <f t="shared" si="6"/>
        <v>17.7</v>
      </c>
      <c r="R7" s="32">
        <f t="shared" si="7"/>
        <v>6</v>
      </c>
      <c r="S7" s="16">
        <f>IFERROR((Q7/'League Calculation'!J$8)*100, "")</f>
        <v>85.09615384615384</v>
      </c>
    </row>
    <row r="8" spans="1:19" s="29" customFormat="1">
      <c r="A8" s="41" t="s">
        <v>69</v>
      </c>
      <c r="B8">
        <v>10</v>
      </c>
      <c r="C8" s="41" t="s">
        <v>174</v>
      </c>
      <c r="D8"/>
      <c r="E8" s="30">
        <v>3.9</v>
      </c>
      <c r="F8" s="30">
        <v>0.5</v>
      </c>
      <c r="G8" s="31">
        <f t="shared" si="0"/>
        <v>6.6</v>
      </c>
      <c r="H8" s="32">
        <f t="shared" si="1"/>
        <v>8</v>
      </c>
      <c r="I8" s="16">
        <f>IFERROR((G8/'League Calculation'!B$8)*100, "")</f>
        <v>70.212765957446805</v>
      </c>
      <c r="J8" s="30">
        <v>1</v>
      </c>
      <c r="K8" s="30">
        <v>1.5</v>
      </c>
      <c r="L8" s="31">
        <f t="shared" si="2"/>
        <v>10.5</v>
      </c>
      <c r="M8" s="32">
        <f t="shared" si="3"/>
        <v>8</v>
      </c>
      <c r="N8" s="16">
        <f>IFERROR((L8/'League Calculation'!C$8)*100, "")</f>
        <v>92.10526315789474</v>
      </c>
      <c r="O8" s="31">
        <f t="shared" si="4"/>
        <v>4.9000000000000004</v>
      </c>
      <c r="P8" s="31">
        <f t="shared" si="5"/>
        <v>2</v>
      </c>
      <c r="Q8" s="31">
        <f t="shared" si="6"/>
        <v>17.100000000000001</v>
      </c>
      <c r="R8" s="32">
        <f t="shared" si="7"/>
        <v>7</v>
      </c>
      <c r="S8" s="16">
        <f>IFERROR((Q8/'League Calculation'!J$8)*100, "")</f>
        <v>82.211538461538467</v>
      </c>
    </row>
    <row r="9" spans="1:19" s="29" customFormat="1">
      <c r="A9" s="41" t="s">
        <v>74</v>
      </c>
      <c r="B9">
        <v>13</v>
      </c>
      <c r="C9" s="41" t="s">
        <v>176</v>
      </c>
      <c r="D9"/>
      <c r="E9" s="30">
        <v>4.5</v>
      </c>
      <c r="F9" s="30">
        <v>0</v>
      </c>
      <c r="G9" s="31">
        <f t="shared" si="0"/>
        <v>5.5</v>
      </c>
      <c r="H9" s="32">
        <f t="shared" si="1"/>
        <v>14</v>
      </c>
      <c r="I9" s="16">
        <f>IFERROR((G9/'League Calculation'!B$8)*100, "")</f>
        <v>58.51063829787234</v>
      </c>
      <c r="J9" s="30">
        <v>0.3</v>
      </c>
      <c r="K9" s="30">
        <v>1.5</v>
      </c>
      <c r="L9" s="31">
        <f t="shared" si="2"/>
        <v>11.2</v>
      </c>
      <c r="M9" s="32">
        <f t="shared" si="3"/>
        <v>2</v>
      </c>
      <c r="N9" s="16">
        <f>IFERROR((L9/'League Calculation'!C$8)*100, "")</f>
        <v>98.245614035087712</v>
      </c>
      <c r="O9" s="31">
        <f t="shared" si="4"/>
        <v>4.8</v>
      </c>
      <c r="P9" s="31">
        <f t="shared" si="5"/>
        <v>1.5</v>
      </c>
      <c r="Q9" s="31">
        <f t="shared" si="6"/>
        <v>16.7</v>
      </c>
      <c r="R9" s="32">
        <f t="shared" si="7"/>
        <v>8</v>
      </c>
      <c r="S9" s="16">
        <f>IFERROR((Q9/'League Calculation'!J$8)*100, "")</f>
        <v>80.288461538461533</v>
      </c>
    </row>
    <row r="10" spans="1:19" s="29" customFormat="1">
      <c r="A10" s="41" t="s">
        <v>69</v>
      </c>
      <c r="B10">
        <v>3</v>
      </c>
      <c r="C10" s="41" t="s">
        <v>168</v>
      </c>
      <c r="D10"/>
      <c r="E10" s="30">
        <v>2.95</v>
      </c>
      <c r="F10" s="30">
        <v>0</v>
      </c>
      <c r="G10" s="31">
        <f t="shared" si="0"/>
        <v>7.05</v>
      </c>
      <c r="H10" s="32">
        <f t="shared" si="1"/>
        <v>4</v>
      </c>
      <c r="I10" s="16">
        <f>IFERROR((G10/'League Calculation'!B$8)*100, "")</f>
        <v>75</v>
      </c>
      <c r="J10" s="30">
        <v>0.7</v>
      </c>
      <c r="K10" s="30">
        <v>0</v>
      </c>
      <c r="L10" s="31">
        <f t="shared" si="2"/>
        <v>9.3000000000000007</v>
      </c>
      <c r="M10" s="32">
        <f t="shared" si="3"/>
        <v>10</v>
      </c>
      <c r="N10" s="16">
        <f>IFERROR((L10/'League Calculation'!C$8)*100, "")</f>
        <v>81.578947368421055</v>
      </c>
      <c r="O10" s="31">
        <f t="shared" si="4"/>
        <v>3.6500000000000004</v>
      </c>
      <c r="P10" s="31">
        <f t="shared" si="5"/>
        <v>0</v>
      </c>
      <c r="Q10" s="31">
        <f t="shared" si="6"/>
        <v>16.350000000000001</v>
      </c>
      <c r="R10" s="32">
        <f t="shared" si="7"/>
        <v>9</v>
      </c>
      <c r="S10" s="16">
        <f>IFERROR((Q10/'League Calculation'!J$8)*100, "")</f>
        <v>78.605769230769241</v>
      </c>
    </row>
    <row r="11" spans="1:19" s="29" customFormat="1">
      <c r="A11" s="41" t="s">
        <v>69</v>
      </c>
      <c r="B11">
        <v>1</v>
      </c>
      <c r="C11" s="41" t="s">
        <v>166</v>
      </c>
      <c r="D11"/>
      <c r="E11" s="30">
        <v>3.45</v>
      </c>
      <c r="F11" s="30">
        <v>0</v>
      </c>
      <c r="G11" s="31">
        <f t="shared" si="0"/>
        <v>6.55</v>
      </c>
      <c r="H11" s="32">
        <f t="shared" si="1"/>
        <v>10</v>
      </c>
      <c r="I11" s="16">
        <f>IFERROR((G11/'League Calculation'!B$8)*100, "")</f>
        <v>69.680851063829792</v>
      </c>
      <c r="J11" s="30">
        <v>0.4</v>
      </c>
      <c r="K11" s="30">
        <v>0</v>
      </c>
      <c r="L11" s="31">
        <f t="shared" si="2"/>
        <v>9.6</v>
      </c>
      <c r="M11" s="32">
        <f t="shared" si="3"/>
        <v>9</v>
      </c>
      <c r="N11" s="16">
        <f>IFERROR((L11/'League Calculation'!C$8)*100, "")</f>
        <v>84.210526315789465</v>
      </c>
      <c r="O11" s="31">
        <f t="shared" si="4"/>
        <v>3.85</v>
      </c>
      <c r="P11" s="31">
        <f t="shared" si="5"/>
        <v>0</v>
      </c>
      <c r="Q11" s="31">
        <f t="shared" si="6"/>
        <v>16.149999999999999</v>
      </c>
      <c r="R11" s="32">
        <f t="shared" si="7"/>
        <v>10</v>
      </c>
      <c r="S11" s="16">
        <f>IFERROR((Q11/'League Calculation'!J$8)*100, "")</f>
        <v>77.644230769230759</v>
      </c>
    </row>
    <row r="12" spans="1:19" s="29" customFormat="1">
      <c r="A12" s="41" t="s">
        <v>69</v>
      </c>
      <c r="B12">
        <v>6</v>
      </c>
      <c r="C12" s="41" t="s">
        <v>171</v>
      </c>
      <c r="D12"/>
      <c r="E12" s="30">
        <v>3.3</v>
      </c>
      <c r="F12" s="30">
        <v>0</v>
      </c>
      <c r="G12" s="31">
        <f t="shared" si="0"/>
        <v>6.7</v>
      </c>
      <c r="H12" s="32">
        <f t="shared" si="1"/>
        <v>7</v>
      </c>
      <c r="I12" s="16">
        <f>IFERROR((G12/'League Calculation'!B$8)*100, "")</f>
        <v>71.276595744680847</v>
      </c>
      <c r="J12" s="30">
        <v>1</v>
      </c>
      <c r="K12" s="30">
        <v>0</v>
      </c>
      <c r="L12" s="31">
        <f t="shared" si="2"/>
        <v>9</v>
      </c>
      <c r="M12" s="32">
        <f t="shared" si="3"/>
        <v>11</v>
      </c>
      <c r="N12" s="16">
        <f>IFERROR((L12/'League Calculation'!C$8)*100, "")</f>
        <v>78.94736842105263</v>
      </c>
      <c r="O12" s="31">
        <f t="shared" si="4"/>
        <v>4.3</v>
      </c>
      <c r="P12" s="31">
        <f t="shared" si="5"/>
        <v>0</v>
      </c>
      <c r="Q12" s="31">
        <f t="shared" si="6"/>
        <v>15.7</v>
      </c>
      <c r="R12" s="32">
        <f t="shared" si="7"/>
        <v>11</v>
      </c>
      <c r="S12" s="16">
        <f>IFERROR((Q12/'League Calculation'!J$8)*100, "")</f>
        <v>75.480769230769226</v>
      </c>
    </row>
    <row r="13" spans="1:19" s="29" customFormat="1">
      <c r="A13" s="41" t="s">
        <v>136</v>
      </c>
      <c r="B13">
        <v>12</v>
      </c>
      <c r="C13" s="41" t="s">
        <v>175</v>
      </c>
      <c r="D13"/>
      <c r="E13" s="30">
        <v>4.3</v>
      </c>
      <c r="F13" s="30">
        <v>0</v>
      </c>
      <c r="G13" s="31">
        <f t="shared" si="0"/>
        <v>5.7</v>
      </c>
      <c r="H13" s="32">
        <f t="shared" si="1"/>
        <v>13</v>
      </c>
      <c r="I13" s="16">
        <f>IFERROR((G13/'League Calculation'!B$8)*100, "")</f>
        <v>60.638297872340431</v>
      </c>
      <c r="J13" s="30">
        <v>1</v>
      </c>
      <c r="K13" s="30">
        <v>0</v>
      </c>
      <c r="L13" s="31">
        <f t="shared" si="2"/>
        <v>9</v>
      </c>
      <c r="M13" s="32">
        <f t="shared" si="3"/>
        <v>11</v>
      </c>
      <c r="N13" s="16">
        <f>IFERROR((L13/'League Calculation'!C$8)*100, "")</f>
        <v>78.94736842105263</v>
      </c>
      <c r="O13" s="31">
        <f t="shared" si="4"/>
        <v>5.3</v>
      </c>
      <c r="P13" s="31">
        <f t="shared" si="5"/>
        <v>0</v>
      </c>
      <c r="Q13" s="31">
        <f t="shared" si="6"/>
        <v>14.7</v>
      </c>
      <c r="R13" s="32">
        <f t="shared" si="7"/>
        <v>12</v>
      </c>
      <c r="S13" s="16">
        <f>IFERROR((Q13/'League Calculation'!J$8)*100, "")</f>
        <v>70.67307692307692</v>
      </c>
    </row>
    <row r="14" spans="1:19" s="29" customFormat="1">
      <c r="A14" s="41" t="s">
        <v>124</v>
      </c>
      <c r="B14">
        <v>16</v>
      </c>
      <c r="C14" s="41" t="s">
        <v>177</v>
      </c>
      <c r="D14"/>
      <c r="E14" s="30">
        <v>4.0999999999999996</v>
      </c>
      <c r="F14" s="30">
        <v>0</v>
      </c>
      <c r="G14" s="31">
        <f t="shared" si="0"/>
        <v>5.9</v>
      </c>
      <c r="H14" s="32">
        <f t="shared" si="1"/>
        <v>12</v>
      </c>
      <c r="I14" s="16">
        <f>IFERROR((G14/'League Calculation'!B$8)*100, "")</f>
        <v>62.765957446808507</v>
      </c>
      <c r="J14" s="30">
        <v>1.35</v>
      </c>
      <c r="K14" s="30">
        <v>0</v>
      </c>
      <c r="L14" s="31">
        <f t="shared" si="2"/>
        <v>8.65</v>
      </c>
      <c r="M14" s="32">
        <f t="shared" si="3"/>
        <v>13</v>
      </c>
      <c r="N14" s="16">
        <f>IFERROR((L14/'League Calculation'!C$8)*100, "")</f>
        <v>75.877192982456137</v>
      </c>
      <c r="O14" s="31">
        <f t="shared" si="4"/>
        <v>5.4499999999999993</v>
      </c>
      <c r="P14" s="31">
        <f t="shared" si="5"/>
        <v>0</v>
      </c>
      <c r="Q14" s="31">
        <f t="shared" si="6"/>
        <v>14.55</v>
      </c>
      <c r="R14" s="32">
        <f t="shared" si="7"/>
        <v>13</v>
      </c>
      <c r="S14" s="16">
        <f>IFERROR((Q14/'League Calculation'!J$8)*100, "")</f>
        <v>69.951923076923066</v>
      </c>
    </row>
    <row r="15" spans="1:19" s="29" customFormat="1">
      <c r="A15" s="41" t="s">
        <v>74</v>
      </c>
      <c r="B15">
        <v>14</v>
      </c>
      <c r="C15" s="41" t="s">
        <v>103</v>
      </c>
      <c r="D15"/>
      <c r="E15" s="30">
        <v>5.8</v>
      </c>
      <c r="F15" s="30">
        <v>0</v>
      </c>
      <c r="G15" s="31">
        <f t="shared" si="0"/>
        <v>4.2</v>
      </c>
      <c r="H15" s="32">
        <f t="shared" si="1"/>
        <v>15</v>
      </c>
      <c r="I15" s="16">
        <f>IFERROR((G15/'League Calculation'!B$8)*100, "")</f>
        <v>44.680851063829785</v>
      </c>
      <c r="J15" s="30">
        <v>2.7</v>
      </c>
      <c r="K15" s="30">
        <v>0</v>
      </c>
      <c r="L15" s="31">
        <f t="shared" si="2"/>
        <v>7.3</v>
      </c>
      <c r="M15" s="32">
        <f t="shared" si="3"/>
        <v>14</v>
      </c>
      <c r="N15" s="16">
        <f>IFERROR((L15/'League Calculation'!C$8)*100, "")</f>
        <v>64.035087719298247</v>
      </c>
      <c r="O15" s="31">
        <f t="shared" si="4"/>
        <v>8.5</v>
      </c>
      <c r="P15" s="31">
        <f t="shared" si="5"/>
        <v>0</v>
      </c>
      <c r="Q15" s="31">
        <f t="shared" si="6"/>
        <v>11.5</v>
      </c>
      <c r="R15" s="32">
        <f t="shared" si="7"/>
        <v>14</v>
      </c>
      <c r="S15" s="16">
        <f>IFERROR((Q15/'League Calculation'!J$8)*100, "")</f>
        <v>55.28846153846154</v>
      </c>
    </row>
    <row r="16" spans="1:19" s="29" customFormat="1">
      <c r="A16" s="41" t="s">
        <v>69</v>
      </c>
      <c r="B16">
        <v>4</v>
      </c>
      <c r="C16" s="41" t="s">
        <v>169</v>
      </c>
      <c r="D16"/>
      <c r="E16" s="30">
        <v>3.5</v>
      </c>
      <c r="F16" s="30">
        <v>0</v>
      </c>
      <c r="G16" s="31">
        <f t="shared" si="0"/>
        <v>6.5</v>
      </c>
      <c r="H16" s="32">
        <f t="shared" si="1"/>
        <v>11</v>
      </c>
      <c r="I16" s="16">
        <f>IFERROR((G16/'League Calculation'!B$8)*100, "")</f>
        <v>69.148936170212764</v>
      </c>
      <c r="J16" s="30">
        <v>0</v>
      </c>
      <c r="K16" s="30">
        <v>0</v>
      </c>
      <c r="L16" s="31">
        <f t="shared" si="2"/>
        <v>0</v>
      </c>
      <c r="M16" s="32">
        <f t="shared" si="3"/>
        <v>15</v>
      </c>
      <c r="N16" s="16">
        <f>IFERROR((L16/'League Calculation'!C$8)*100, "")</f>
        <v>0</v>
      </c>
      <c r="O16" s="31">
        <f t="shared" si="4"/>
        <v>3.5</v>
      </c>
      <c r="P16" s="31">
        <f t="shared" si="5"/>
        <v>0</v>
      </c>
      <c r="Q16" s="31">
        <f t="shared" si="6"/>
        <v>6.5</v>
      </c>
      <c r="R16" s="32">
        <f t="shared" si="7"/>
        <v>15</v>
      </c>
      <c r="S16" s="16">
        <f>IFERROR((Q16/'League Calculation'!J$8)*100, "")</f>
        <v>31.25</v>
      </c>
    </row>
    <row r="17" spans="1:19" s="29" customFormat="1">
      <c r="A17" s="41" t="s">
        <v>69</v>
      </c>
      <c r="B17">
        <v>2</v>
      </c>
      <c r="C17" s="41" t="s">
        <v>167</v>
      </c>
      <c r="D17"/>
      <c r="E17" s="30">
        <v>0</v>
      </c>
      <c r="F17" s="30">
        <v>0</v>
      </c>
      <c r="G17" s="31">
        <f t="shared" si="0"/>
        <v>0</v>
      </c>
      <c r="H17" s="32">
        <f t="shared" si="1"/>
        <v>16</v>
      </c>
      <c r="I17" s="16">
        <f>IFERROR((G17/'League Calculation'!B$8)*100, "")</f>
        <v>0</v>
      </c>
      <c r="J17" s="30">
        <v>0</v>
      </c>
      <c r="K17" s="30">
        <v>0</v>
      </c>
      <c r="L17" s="31">
        <f t="shared" si="2"/>
        <v>0</v>
      </c>
      <c r="M17" s="32">
        <f t="shared" si="3"/>
        <v>15</v>
      </c>
      <c r="N17" s="16">
        <f>IFERROR((L17/'League Calculation'!C$8)*100, "")</f>
        <v>0</v>
      </c>
      <c r="O17" s="31">
        <f t="shared" si="4"/>
        <v>0</v>
      </c>
      <c r="P17" s="31">
        <f t="shared" si="5"/>
        <v>0</v>
      </c>
      <c r="Q17" s="31">
        <f t="shared" si="6"/>
        <v>0</v>
      </c>
      <c r="R17" s="32">
        <f t="shared" si="7"/>
        <v>16</v>
      </c>
      <c r="S17" s="16">
        <f>IFERROR((Q17/'League Calculation'!J$8)*100, "")</f>
        <v>0</v>
      </c>
    </row>
    <row r="18" spans="1:19" s="29" customFormat="1">
      <c r="A18" s="41" t="s">
        <v>69</v>
      </c>
      <c r="B18">
        <v>8</v>
      </c>
      <c r="C18" s="41" t="s">
        <v>173</v>
      </c>
      <c r="D18"/>
      <c r="E18" s="30">
        <v>0</v>
      </c>
      <c r="F18" s="30">
        <v>0</v>
      </c>
      <c r="G18" s="31">
        <f t="shared" si="0"/>
        <v>0</v>
      </c>
      <c r="H18" s="32">
        <f t="shared" si="1"/>
        <v>16</v>
      </c>
      <c r="I18" s="16">
        <f>IFERROR((G18/'League Calculation'!B$8)*100, "")</f>
        <v>0</v>
      </c>
      <c r="J18" s="30">
        <v>0</v>
      </c>
      <c r="K18" s="30">
        <v>0</v>
      </c>
      <c r="L18" s="31">
        <f t="shared" si="2"/>
        <v>0</v>
      </c>
      <c r="M18" s="32">
        <f t="shared" si="3"/>
        <v>15</v>
      </c>
      <c r="N18" s="16">
        <f>IFERROR((L18/'League Calculation'!C$8)*100, "")</f>
        <v>0</v>
      </c>
      <c r="O18" s="31">
        <f t="shared" si="4"/>
        <v>0</v>
      </c>
      <c r="P18" s="31">
        <f t="shared" si="5"/>
        <v>0</v>
      </c>
      <c r="Q18" s="31">
        <f t="shared" si="6"/>
        <v>0</v>
      </c>
      <c r="R18" s="32">
        <f t="shared" si="7"/>
        <v>16</v>
      </c>
      <c r="S18" s="16">
        <f>IFERROR((Q18/'League Calculation'!J$8)*100, "")</f>
        <v>0</v>
      </c>
    </row>
    <row r="1048572" spans="8:9">
      <c r="H1048572" s="11">
        <f>SUM(H3)</f>
        <v>2</v>
      </c>
      <c r="I1048572" s="17">
        <f>SUM(I2:I1048571)</f>
        <v>1061.7021276595744</v>
      </c>
    </row>
  </sheetData>
  <sheetProtection selectLockedCells="1"/>
  <autoFilter ref="A1:A1048572" xr:uid="{33D78786-418A-744C-8894-BB5793083F6C}"/>
  <sortState xmlns:xlrd2="http://schemas.microsoft.com/office/spreadsheetml/2017/richdata2" ref="A2:S1048572">
    <sortCondition ref="R2:R1048572"/>
  </sortState>
  <conditionalFormatting sqref="R1:R1048576 M1:M1048576 H1:H1048576">
    <cfRule type="cellIs" dxfId="5" priority="7" operator="equal">
      <formula>3</formula>
    </cfRule>
    <cfRule type="cellIs" dxfId="4" priority="8" operator="equal">
      <formula>2</formula>
    </cfRule>
    <cfRule type="cellIs" dxfId="3" priority="9" operator="equal">
      <formula>1</formula>
    </cfRule>
  </conditionalFormatting>
  <dataValidations count="1">
    <dataValidation type="list" allowBlank="1" showInputMessage="1" showErrorMessage="1" sqref="D2:D1048576" xr:uid="{F091F706-7623-734F-B805-649562E39EB6}">
      <formula1>"Yes"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Team Medals</vt:lpstr>
      <vt:lpstr>Elite Men</vt:lpstr>
      <vt:lpstr>Advanced Men</vt:lpstr>
      <vt:lpstr>Intermediate Men</vt:lpstr>
      <vt:lpstr>Novice Men</vt:lpstr>
      <vt:lpstr>Elite Women</vt:lpstr>
      <vt:lpstr>Advanced Women</vt:lpstr>
      <vt:lpstr>Intermediate Women</vt:lpstr>
      <vt:lpstr>Novice Women</vt:lpstr>
      <vt:lpstr>League Calculation</vt:lpstr>
      <vt:lpstr>Team Calculation - Elite</vt:lpstr>
      <vt:lpstr>Team Calculation - Advanced</vt:lpstr>
      <vt:lpstr>Team Calculation - Intermediate</vt:lpstr>
      <vt:lpstr>Team Calculation - Novice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Senter</dc:creator>
  <cp:lastModifiedBy>Tom Senter</cp:lastModifiedBy>
  <dcterms:created xsi:type="dcterms:W3CDTF">2019-05-27T11:33:49Z</dcterms:created>
  <dcterms:modified xsi:type="dcterms:W3CDTF">2022-03-24T10:09:02Z</dcterms:modified>
</cp:coreProperties>
</file>